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1B98FD2F-58E8-40CB-AC58-9457ED94D0C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1 - Pipe P3" sheetId="1" r:id="rId1"/>
    <sheet name="Graph Data" sheetId="11" r:id="rId2"/>
  </sheets>
  <definedNames>
    <definedName name="A">'Example 7.1 - Pipe P3'!$C$23</definedName>
    <definedName name="c_1">'Example 7.1 - Pipe P3'!$C$77</definedName>
    <definedName name="c_2">'Example 7.1 - Pipe P3'!$C$135</definedName>
    <definedName name="cp">'Example 7.1 - Pipe P3'!$C$11</definedName>
    <definedName name="D">'Example 7.1 - Pipe P3'!$C$19</definedName>
    <definedName name="f">'Example 7.1 - Pipe P3'!$C$25</definedName>
    <definedName name="Gam">'Example 7.1 - Pipe P3'!$C$5</definedName>
    <definedName name="gc">'Example 7.1 - Pipe P3'!$C$6</definedName>
    <definedName name="h_1">'Example 7.1 - Pipe P3'!$C$93</definedName>
    <definedName name="h_2">'Example 7.1 - Pipe P3'!$C$133</definedName>
    <definedName name="ho_1">'Example 7.1 - Pipe P3'!$C$95</definedName>
    <definedName name="ho_2">'Example 7.1 - Pipe P3'!$C$106</definedName>
    <definedName name="L">'Example 7.1 - Pipe P3'!$C$15</definedName>
    <definedName name="M_1">'Example 7.1 - Pipe P3'!$C$52</definedName>
    <definedName name="M_2">'Example 7.1 - Pipe P3'!$C$45</definedName>
    <definedName name="M_3">'Graph Data'!$D$77</definedName>
    <definedName name="M1x">'Example 7.1 - Pipe P3'!#REF!</definedName>
    <definedName name="M2x">'Example 7.1 - Pipe P3'!#REF!</definedName>
    <definedName name="mdot">'Example 7.1 - Pipe P3'!$C$37</definedName>
    <definedName name="P_1">'Example 7.1 - Pipe P3'!$C$83</definedName>
    <definedName name="P_2">'Example 7.1 - Pipe P3'!$C$122</definedName>
    <definedName name="Po_1">'Example 7.1 - Pipe P3'!$C$88</definedName>
    <definedName name="Po_2">'Example 7.1 - Pipe P3'!$C$114</definedName>
    <definedName name="Rg">'Example 7.1 - Pipe P3'!$C$3</definedName>
    <definedName name="rho_1">'Example 7.1 - Pipe P3'!$C$81</definedName>
    <definedName name="rho_2">'Example 7.1 - Pipe P3'!$C$128</definedName>
    <definedName name="solver_adj" localSheetId="0" hidden="1">'Example 7.1 - Pipe P3'!$C$52:$C$52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7.1 - Pipe P3'!$C$52</definedName>
    <definedName name="solver_lhs2" localSheetId="0" hidden="1">'Example 7.1 - Pipe P3'!$C$52</definedName>
    <definedName name="solver_lhs3" localSheetId="0" hidden="1">'Example 7.1 - Pipe P3'!$C$45</definedName>
    <definedName name="solver_lhs4" localSheetId="0" hidden="1">'Example 7.1 - Pipe P3'!$C$45</definedName>
    <definedName name="solver_lhs5" localSheetId="0" hidden="1">'Example 7.1 - Pipe P3'!$C$45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7.1 - Pipe P3'!#REF!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7.1 - Pipe P3'!$C$73</definedName>
    <definedName name="T_2">'Example 7.1 - Pipe P3'!$C$124</definedName>
    <definedName name="To_1">'Example 7.1 - Pipe P3'!$C$41</definedName>
    <definedName name="To_2">'Example 7.1 - Pipe P3'!$C$110</definedName>
    <definedName name="V_1">'Example 7.1 - Pipe P3'!$C$79</definedName>
    <definedName name="V_2">'Example 7.1 - Pipe P3'!$C$130</definedName>
    <definedName name="Z">'Example 7.1 - Pipe P3'!$C$42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1" l="1"/>
  <c r="D3" i="11"/>
  <c r="E3" i="11" s="1"/>
  <c r="E55" i="11"/>
  <c r="D4" i="11" l="1"/>
  <c r="E4" i="11"/>
  <c r="D5" i="11"/>
  <c r="C21" i="1"/>
  <c r="C23" i="1" s="1"/>
  <c r="C19" i="1"/>
  <c r="B4" i="11" s="1"/>
  <c r="C4" i="11" s="1"/>
  <c r="C18" i="1"/>
  <c r="C22" i="1" s="1"/>
  <c r="C16" i="1"/>
  <c r="B5" i="11" l="1"/>
  <c r="C5" i="11" s="1"/>
  <c r="D6" i="11"/>
  <c r="E5" i="11"/>
  <c r="C20" i="1"/>
  <c r="C24" i="1" s="1"/>
  <c r="B55" i="11"/>
  <c r="C55" i="11" s="1"/>
  <c r="B115" i="1"/>
  <c r="B6" i="11" l="1"/>
  <c r="C6" i="11" s="1"/>
  <c r="D7" i="11"/>
  <c r="E6" i="11"/>
  <c r="C58" i="1"/>
  <c r="B7" i="11" l="1"/>
  <c r="C7" i="11" s="1"/>
  <c r="D8" i="11"/>
  <c r="E7" i="11"/>
  <c r="B136" i="1"/>
  <c r="B134" i="1"/>
  <c r="B131" i="1"/>
  <c r="B129" i="1"/>
  <c r="B112" i="1"/>
  <c r="B89" i="1"/>
  <c r="B126" i="1"/>
  <c r="B123" i="1"/>
  <c r="B107" i="1"/>
  <c r="B96" i="1"/>
  <c r="B94" i="1"/>
  <c r="B78" i="1"/>
  <c r="B80" i="1"/>
  <c r="B82" i="1"/>
  <c r="B75" i="1"/>
  <c r="B84" i="1"/>
  <c r="B8" i="11" l="1"/>
  <c r="C8" i="11" s="1"/>
  <c r="D9" i="11"/>
  <c r="E8" i="11"/>
  <c r="C40" i="1"/>
  <c r="C12" i="1"/>
  <c r="C4" i="1"/>
  <c r="C41" i="1"/>
  <c r="C110" i="1" l="1"/>
  <c r="N3" i="11"/>
  <c r="E9" i="11"/>
  <c r="B9" i="11"/>
  <c r="C9" i="11" s="1"/>
  <c r="D10" i="11"/>
  <c r="C114" i="1"/>
  <c r="C38" i="1"/>
  <c r="C73" i="1"/>
  <c r="C56" i="1"/>
  <c r="C60" i="1" s="1"/>
  <c r="C77" i="1" l="1"/>
  <c r="C79" i="1" s="1"/>
  <c r="C81" i="1" s="1"/>
  <c r="J3" i="11"/>
  <c r="E10" i="11"/>
  <c r="B10" i="11"/>
  <c r="C10" i="11" s="1"/>
  <c r="D11" i="11"/>
  <c r="O3" i="11"/>
  <c r="P3" i="11"/>
  <c r="N4" i="11"/>
  <c r="C74" i="1"/>
  <c r="C75" i="1" s="1"/>
  <c r="C82" i="1"/>
  <c r="C93" i="1"/>
  <c r="C94" i="1" s="1"/>
  <c r="C124" i="1"/>
  <c r="B11" i="11" l="1"/>
  <c r="C11" i="11" s="1"/>
  <c r="D12" i="11"/>
  <c r="E11" i="11"/>
  <c r="H4" i="11"/>
  <c r="J4" i="11"/>
  <c r="N5" i="11"/>
  <c r="P4" i="11"/>
  <c r="Q3" i="11"/>
  <c r="O4" i="11"/>
  <c r="K3" i="11"/>
  <c r="M3" i="11" s="1"/>
  <c r="L3" i="11"/>
  <c r="C83" i="1"/>
  <c r="R3" i="11"/>
  <c r="S3" i="11" s="1"/>
  <c r="C111" i="1"/>
  <c r="C112" i="1" s="1"/>
  <c r="C125" i="1"/>
  <c r="C126" i="1" s="1"/>
  <c r="Q4" i="11" l="1"/>
  <c r="O5" i="11"/>
  <c r="H5" i="11"/>
  <c r="J5" i="11"/>
  <c r="N6" i="11"/>
  <c r="P5" i="11"/>
  <c r="K4" i="11"/>
  <c r="M4" i="11" s="1"/>
  <c r="L4" i="11"/>
  <c r="F4" i="11"/>
  <c r="I4" i="11"/>
  <c r="B12" i="11"/>
  <c r="C12" i="11" s="1"/>
  <c r="D13" i="11"/>
  <c r="E12" i="11"/>
  <c r="C84" i="1"/>
  <c r="F3" i="11"/>
  <c r="C122" i="1"/>
  <c r="C88" i="1"/>
  <c r="H3" i="11" s="1"/>
  <c r="I3" i="11" s="1"/>
  <c r="C78" i="1"/>
  <c r="R4" i="11" l="1"/>
  <c r="S4" i="11" s="1"/>
  <c r="G4" i="11"/>
  <c r="T4" i="11"/>
  <c r="K5" i="11"/>
  <c r="M5" i="11" s="1"/>
  <c r="L5" i="11"/>
  <c r="J6" i="11"/>
  <c r="N7" i="11"/>
  <c r="P6" i="11"/>
  <c r="H6" i="11"/>
  <c r="O6" i="11"/>
  <c r="Q5" i="11"/>
  <c r="C123" i="1"/>
  <c r="C128" i="1"/>
  <c r="G3" i="11"/>
  <c r="T3" i="11"/>
  <c r="I5" i="11"/>
  <c r="F5" i="11"/>
  <c r="B13" i="11"/>
  <c r="C13" i="11" s="1"/>
  <c r="D14" i="11"/>
  <c r="E13" i="11"/>
  <c r="C95" i="1"/>
  <c r="C96" i="1" s="1"/>
  <c r="C80" i="1"/>
  <c r="I6" i="11" l="1"/>
  <c r="F6" i="11"/>
  <c r="B14" i="11"/>
  <c r="C14" i="11" s="1"/>
  <c r="D15" i="11"/>
  <c r="E14" i="11"/>
  <c r="N8" i="11"/>
  <c r="P7" i="11"/>
  <c r="H7" i="11"/>
  <c r="J7" i="11"/>
  <c r="U4" i="11"/>
  <c r="V4" i="11"/>
  <c r="W4" i="11" s="1"/>
  <c r="K6" i="11"/>
  <c r="M6" i="11" s="1"/>
  <c r="L6" i="11"/>
  <c r="U3" i="11"/>
  <c r="V3" i="11"/>
  <c r="W3" i="11" s="1"/>
  <c r="O7" i="11"/>
  <c r="Q6" i="11"/>
  <c r="G5" i="11"/>
  <c r="R5" i="11"/>
  <c r="S5" i="11" s="1"/>
  <c r="C129" i="1"/>
  <c r="C130" i="1"/>
  <c r="C106" i="1"/>
  <c r="C133" i="1" s="1"/>
  <c r="C134" i="1" s="1"/>
  <c r="C135" i="1" l="1"/>
  <c r="C136" i="1" s="1"/>
  <c r="C131" i="1"/>
  <c r="P8" i="11"/>
  <c r="H8" i="11"/>
  <c r="J8" i="11"/>
  <c r="N9" i="11"/>
  <c r="F7" i="11"/>
  <c r="I7" i="11"/>
  <c r="O8" i="11"/>
  <c r="Q7" i="11"/>
  <c r="T5" i="11"/>
  <c r="E15" i="11"/>
  <c r="D16" i="11"/>
  <c r="B15" i="11"/>
  <c r="C15" i="11" s="1"/>
  <c r="R6" i="11"/>
  <c r="S6" i="11" s="1"/>
  <c r="G6" i="11"/>
  <c r="T6" i="11"/>
  <c r="K7" i="11"/>
  <c r="M7" i="11" s="1"/>
  <c r="L7" i="11"/>
  <c r="C107" i="1"/>
  <c r="U5" i="11" l="1"/>
  <c r="V5" i="11"/>
  <c r="W5" i="11" s="1"/>
  <c r="U6" i="11"/>
  <c r="V6" i="11"/>
  <c r="W6" i="11" s="1"/>
  <c r="O9" i="11"/>
  <c r="Q8" i="11"/>
  <c r="K8" i="11"/>
  <c r="M8" i="11" s="1"/>
  <c r="L8" i="11"/>
  <c r="E16" i="11"/>
  <c r="B16" i="11"/>
  <c r="C16" i="11" s="1"/>
  <c r="D17" i="11"/>
  <c r="R7" i="11"/>
  <c r="S7" i="11" s="1"/>
  <c r="G7" i="11"/>
  <c r="P9" i="11"/>
  <c r="H9" i="11"/>
  <c r="J9" i="11"/>
  <c r="N10" i="11"/>
  <c r="F8" i="11"/>
  <c r="I8" i="11"/>
  <c r="C89" i="1"/>
  <c r="C115" i="1"/>
  <c r="T7" i="11" l="1"/>
  <c r="B17" i="11"/>
  <c r="C17" i="11" s="1"/>
  <c r="D18" i="11"/>
  <c r="E17" i="11"/>
  <c r="K9" i="11"/>
  <c r="M9" i="11" s="1"/>
  <c r="L9" i="11"/>
  <c r="R8" i="11"/>
  <c r="S8" i="11" s="1"/>
  <c r="G8" i="11"/>
  <c r="H10" i="11"/>
  <c r="J10" i="11"/>
  <c r="N11" i="11"/>
  <c r="P10" i="11"/>
  <c r="F9" i="11"/>
  <c r="I9" i="11"/>
  <c r="Q9" i="11"/>
  <c r="O10" i="11"/>
  <c r="U7" i="11"/>
  <c r="V7" i="11"/>
  <c r="W7" i="11" s="1"/>
  <c r="T8" i="11" l="1"/>
  <c r="U8" i="11"/>
  <c r="V8" i="11"/>
  <c r="W8" i="11" s="1"/>
  <c r="Q10" i="11"/>
  <c r="O11" i="11"/>
  <c r="F10" i="11"/>
  <c r="I10" i="11"/>
  <c r="B18" i="11"/>
  <c r="C18" i="11" s="1"/>
  <c r="D19" i="11"/>
  <c r="E18" i="11"/>
  <c r="K10" i="11"/>
  <c r="M10" i="11" s="1"/>
  <c r="L10" i="11"/>
  <c r="H11" i="11"/>
  <c r="J11" i="11"/>
  <c r="N12" i="11"/>
  <c r="P11" i="11"/>
  <c r="R9" i="11"/>
  <c r="S9" i="11" s="1"/>
  <c r="G9" i="11"/>
  <c r="T9" i="11" l="1"/>
  <c r="B19" i="11"/>
  <c r="C19" i="11" s="1"/>
  <c r="D20" i="11"/>
  <c r="E19" i="11"/>
  <c r="R10" i="11"/>
  <c r="S10" i="11" s="1"/>
  <c r="G10" i="11"/>
  <c r="T10" i="11"/>
  <c r="U9" i="11"/>
  <c r="V9" i="11"/>
  <c r="W9" i="11" s="1"/>
  <c r="K11" i="11"/>
  <c r="M11" i="11" s="1"/>
  <c r="L11" i="11"/>
  <c r="O12" i="11"/>
  <c r="Q11" i="11"/>
  <c r="J12" i="11"/>
  <c r="N13" i="11"/>
  <c r="P12" i="11"/>
  <c r="H12" i="11"/>
  <c r="I11" i="11"/>
  <c r="F11" i="11"/>
  <c r="G11" i="11" l="1"/>
  <c r="R11" i="11"/>
  <c r="S11" i="11" s="1"/>
  <c r="I12" i="11"/>
  <c r="F12" i="11"/>
  <c r="N14" i="11"/>
  <c r="P13" i="11"/>
  <c r="H13" i="11"/>
  <c r="J13" i="11"/>
  <c r="K12" i="11"/>
  <c r="M12" i="11" s="1"/>
  <c r="L12" i="11"/>
  <c r="B20" i="11"/>
  <c r="C20" i="11" s="1"/>
  <c r="D21" i="11"/>
  <c r="E20" i="11"/>
  <c r="O13" i="11"/>
  <c r="Q12" i="11"/>
  <c r="U10" i="11"/>
  <c r="V10" i="11"/>
  <c r="W10" i="11" s="1"/>
  <c r="F13" i="11" l="1"/>
  <c r="I13" i="11"/>
  <c r="R12" i="11"/>
  <c r="S12" i="11" s="1"/>
  <c r="G12" i="11"/>
  <c r="T12" i="11"/>
  <c r="O14" i="11"/>
  <c r="Q13" i="11"/>
  <c r="T11" i="11"/>
  <c r="K13" i="11"/>
  <c r="M13" i="11" s="1"/>
  <c r="L13" i="11"/>
  <c r="P14" i="11"/>
  <c r="H14" i="11"/>
  <c r="J14" i="11"/>
  <c r="N15" i="11"/>
  <c r="E21" i="11"/>
  <c r="D22" i="11"/>
  <c r="B21" i="11"/>
  <c r="C21" i="11" s="1"/>
  <c r="F14" i="11" l="1"/>
  <c r="I14" i="11"/>
  <c r="E22" i="11"/>
  <c r="B22" i="11"/>
  <c r="C22" i="11" s="1"/>
  <c r="D23" i="11"/>
  <c r="U11" i="11"/>
  <c r="V11" i="11"/>
  <c r="W11" i="11" s="1"/>
  <c r="U12" i="11"/>
  <c r="V12" i="11"/>
  <c r="W12" i="11" s="1"/>
  <c r="P15" i="11"/>
  <c r="H15" i="11"/>
  <c r="J15" i="11"/>
  <c r="N16" i="11"/>
  <c r="O15" i="11"/>
  <c r="Q14" i="11"/>
  <c r="K14" i="11"/>
  <c r="M14" i="11" s="1"/>
  <c r="L14" i="11"/>
  <c r="R13" i="11"/>
  <c r="S13" i="11" s="1"/>
  <c r="G13" i="11"/>
  <c r="T13" i="11"/>
  <c r="U13" i="11" l="1"/>
  <c r="V13" i="11"/>
  <c r="W13" i="11" s="1"/>
  <c r="Q15" i="11"/>
  <c r="O16" i="11"/>
  <c r="F15" i="11"/>
  <c r="I15" i="11"/>
  <c r="B23" i="11"/>
  <c r="C23" i="11" s="1"/>
  <c r="D24" i="11"/>
  <c r="E23" i="11"/>
  <c r="H16" i="11"/>
  <c r="J16" i="11"/>
  <c r="N17" i="11"/>
  <c r="P16" i="11"/>
  <c r="K15" i="11"/>
  <c r="M15" i="11" s="1"/>
  <c r="L15" i="11"/>
  <c r="R14" i="11"/>
  <c r="S14" i="11" s="1"/>
  <c r="G14" i="11"/>
  <c r="T14" i="11"/>
  <c r="K16" i="11" l="1"/>
  <c r="M16" i="11" s="1"/>
  <c r="L16" i="11"/>
  <c r="F16" i="11"/>
  <c r="I16" i="11"/>
  <c r="B24" i="11"/>
  <c r="C24" i="11" s="1"/>
  <c r="D25" i="11"/>
  <c r="E24" i="11"/>
  <c r="U14" i="11"/>
  <c r="V14" i="11"/>
  <c r="W14" i="11" s="1"/>
  <c r="Q16" i="11"/>
  <c r="O17" i="11"/>
  <c r="R15" i="11"/>
  <c r="S15" i="11" s="1"/>
  <c r="G15" i="11"/>
  <c r="H17" i="11"/>
  <c r="J17" i="11"/>
  <c r="N18" i="11"/>
  <c r="P17" i="11"/>
  <c r="T15" i="11" l="1"/>
  <c r="K17" i="11"/>
  <c r="M17" i="11" s="1"/>
  <c r="L17" i="11"/>
  <c r="O18" i="11"/>
  <c r="Q17" i="11"/>
  <c r="B25" i="11"/>
  <c r="C25" i="11" s="1"/>
  <c r="D26" i="11"/>
  <c r="E25" i="11"/>
  <c r="J18" i="11"/>
  <c r="N19" i="11"/>
  <c r="P18" i="11"/>
  <c r="H18" i="11"/>
  <c r="R16" i="11"/>
  <c r="S16" i="11" s="1"/>
  <c r="G16" i="11"/>
  <c r="T16" i="11"/>
  <c r="I17" i="11"/>
  <c r="F17" i="11"/>
  <c r="U15" i="11"/>
  <c r="V15" i="11"/>
  <c r="W15" i="11" s="1"/>
  <c r="N20" i="11" l="1"/>
  <c r="P19" i="11"/>
  <c r="H19" i="11"/>
  <c r="J19" i="11"/>
  <c r="I18" i="11"/>
  <c r="F18" i="11"/>
  <c r="U16" i="11"/>
  <c r="V16" i="11"/>
  <c r="W16" i="11" s="1"/>
  <c r="B26" i="11"/>
  <c r="C26" i="11" s="1"/>
  <c r="D27" i="11"/>
  <c r="E26" i="11"/>
  <c r="G17" i="11"/>
  <c r="R17" i="11"/>
  <c r="S17" i="11" s="1"/>
  <c r="K18" i="11"/>
  <c r="M18" i="11" s="1"/>
  <c r="L18" i="11"/>
  <c r="O19" i="11"/>
  <c r="Q18" i="11"/>
  <c r="E27" i="11" l="1"/>
  <c r="D28" i="11"/>
  <c r="B27" i="11"/>
  <c r="C27" i="11" s="1"/>
  <c r="O20" i="11"/>
  <c r="Q19" i="11"/>
  <c r="R18" i="11"/>
  <c r="S18" i="11" s="1"/>
  <c r="G18" i="11"/>
  <c r="T18" i="11"/>
  <c r="K19" i="11"/>
  <c r="M19" i="11" s="1"/>
  <c r="L19" i="11"/>
  <c r="F19" i="11"/>
  <c r="I19" i="11"/>
  <c r="T17" i="11"/>
  <c r="P20" i="11"/>
  <c r="H20" i="11"/>
  <c r="J20" i="11"/>
  <c r="N21" i="11"/>
  <c r="O21" i="11" l="1"/>
  <c r="Q20" i="11"/>
  <c r="E28" i="11"/>
  <c r="B28" i="11"/>
  <c r="C28" i="11" s="1"/>
  <c r="D29" i="11"/>
  <c r="U17" i="11"/>
  <c r="V17" i="11"/>
  <c r="W17" i="11" s="1"/>
  <c r="R19" i="11"/>
  <c r="S19" i="11" s="1"/>
  <c r="G19" i="11"/>
  <c r="T19" i="11"/>
  <c r="U18" i="11"/>
  <c r="V18" i="11"/>
  <c r="W18" i="11" s="1"/>
  <c r="P21" i="11"/>
  <c r="H21" i="11"/>
  <c r="J21" i="11"/>
  <c r="N22" i="11"/>
  <c r="K20" i="11"/>
  <c r="M20" i="11" s="1"/>
  <c r="L20" i="11"/>
  <c r="F20" i="11"/>
  <c r="I20" i="11"/>
  <c r="U19" i="11" l="1"/>
  <c r="V19" i="11"/>
  <c r="W19" i="11" s="1"/>
  <c r="R20" i="11"/>
  <c r="S20" i="11" s="1"/>
  <c r="G20" i="11"/>
  <c r="T20" i="11"/>
  <c r="B29" i="11"/>
  <c r="C29" i="11" s="1"/>
  <c r="D30" i="11"/>
  <c r="E29" i="11"/>
  <c r="H22" i="11"/>
  <c r="J22" i="11"/>
  <c r="N23" i="11"/>
  <c r="P22" i="11"/>
  <c r="F21" i="11"/>
  <c r="I21" i="11"/>
  <c r="K21" i="11"/>
  <c r="M21" i="11" s="1"/>
  <c r="L21" i="11"/>
  <c r="Q21" i="11"/>
  <c r="O22" i="11"/>
  <c r="H23" i="11" l="1"/>
  <c r="J23" i="11"/>
  <c r="N24" i="11"/>
  <c r="P23" i="11"/>
  <c r="F22" i="11"/>
  <c r="I22" i="11"/>
  <c r="U20" i="11"/>
  <c r="V20" i="11"/>
  <c r="W20" i="11" s="1"/>
  <c r="R21" i="11"/>
  <c r="S21" i="11" s="1"/>
  <c r="G21" i="11"/>
  <c r="T21" i="11"/>
  <c r="K22" i="11"/>
  <c r="M22" i="11" s="1"/>
  <c r="L22" i="11"/>
  <c r="B30" i="11"/>
  <c r="C30" i="11" s="1"/>
  <c r="D31" i="11"/>
  <c r="E30" i="11"/>
  <c r="Q22" i="11"/>
  <c r="O23" i="11"/>
  <c r="U21" i="11" l="1"/>
  <c r="V21" i="11"/>
  <c r="W21" i="11" s="1"/>
  <c r="O24" i="11"/>
  <c r="Q23" i="11"/>
  <c r="B31" i="11"/>
  <c r="C31" i="11" s="1"/>
  <c r="D32" i="11"/>
  <c r="E31" i="11"/>
  <c r="J24" i="11"/>
  <c r="N25" i="11"/>
  <c r="P24" i="11"/>
  <c r="H24" i="11"/>
  <c r="R22" i="11"/>
  <c r="S22" i="11" s="1"/>
  <c r="G22" i="11"/>
  <c r="K23" i="11"/>
  <c r="M23" i="11" s="1"/>
  <c r="L23" i="11"/>
  <c r="I23" i="11"/>
  <c r="F23" i="11"/>
  <c r="T22" i="11" l="1"/>
  <c r="K24" i="11"/>
  <c r="M24" i="11" s="1"/>
  <c r="L24" i="11"/>
  <c r="I24" i="11"/>
  <c r="F24" i="11"/>
  <c r="N26" i="11"/>
  <c r="P25" i="11"/>
  <c r="H25" i="11"/>
  <c r="J25" i="11"/>
  <c r="G23" i="11"/>
  <c r="R23" i="11"/>
  <c r="S23" i="11" s="1"/>
  <c r="B32" i="11"/>
  <c r="C32" i="11" s="1"/>
  <c r="D33" i="11"/>
  <c r="E32" i="11"/>
  <c r="U22" i="11"/>
  <c r="V22" i="11"/>
  <c r="W22" i="11" s="1"/>
  <c r="O25" i="11"/>
  <c r="Q24" i="11"/>
  <c r="K25" i="11" l="1"/>
  <c r="M25" i="11" s="1"/>
  <c r="L25" i="11"/>
  <c r="O26" i="11"/>
  <c r="Q25" i="11"/>
  <c r="T23" i="11"/>
  <c r="R24" i="11"/>
  <c r="S24" i="11" s="1"/>
  <c r="G24" i="11"/>
  <c r="T24" i="11"/>
  <c r="F25" i="11"/>
  <c r="I25" i="11"/>
  <c r="P26" i="11"/>
  <c r="H26" i="11"/>
  <c r="J26" i="11"/>
  <c r="N27" i="11"/>
  <c r="E33" i="11"/>
  <c r="B33" i="11"/>
  <c r="C33" i="11" s="1"/>
  <c r="D34" i="11"/>
  <c r="F26" i="11" l="1"/>
  <c r="I26" i="11"/>
  <c r="U24" i="11"/>
  <c r="V24" i="11"/>
  <c r="W24" i="11" s="1"/>
  <c r="E34" i="11"/>
  <c r="B34" i="11"/>
  <c r="C34" i="11" s="1"/>
  <c r="D35" i="11"/>
  <c r="U23" i="11"/>
  <c r="V23" i="11"/>
  <c r="W23" i="11" s="1"/>
  <c r="P27" i="11"/>
  <c r="H27" i="11"/>
  <c r="J27" i="11"/>
  <c r="N28" i="11"/>
  <c r="R25" i="11"/>
  <c r="S25" i="11" s="1"/>
  <c r="G25" i="11"/>
  <c r="T25" i="11"/>
  <c r="O27" i="11"/>
  <c r="Q26" i="11"/>
  <c r="K26" i="11"/>
  <c r="M26" i="11" s="1"/>
  <c r="L26" i="11"/>
  <c r="F27" i="11" l="1"/>
  <c r="I27" i="11"/>
  <c r="U25" i="11"/>
  <c r="V25" i="11"/>
  <c r="W25" i="11" s="1"/>
  <c r="B35" i="11"/>
  <c r="C35" i="11" s="1"/>
  <c r="D36" i="11"/>
  <c r="E35" i="11"/>
  <c r="Q27" i="11"/>
  <c r="O28" i="11"/>
  <c r="H28" i="11"/>
  <c r="J28" i="11"/>
  <c r="N29" i="11"/>
  <c r="P28" i="11"/>
  <c r="K27" i="11"/>
  <c r="M27" i="11" s="1"/>
  <c r="L27" i="11"/>
  <c r="R26" i="11"/>
  <c r="S26" i="11" s="1"/>
  <c r="G26" i="11"/>
  <c r="K28" i="11" l="1"/>
  <c r="M28" i="11" s="1"/>
  <c r="L28" i="11"/>
  <c r="Q28" i="11"/>
  <c r="O29" i="11"/>
  <c r="F28" i="11"/>
  <c r="I28" i="11"/>
  <c r="T26" i="11"/>
  <c r="B36" i="11"/>
  <c r="C36" i="11" s="1"/>
  <c r="D37" i="11"/>
  <c r="E36" i="11"/>
  <c r="H29" i="11"/>
  <c r="J29" i="11"/>
  <c r="N30" i="11"/>
  <c r="P29" i="11"/>
  <c r="R27" i="11"/>
  <c r="S27" i="11" s="1"/>
  <c r="G27" i="11"/>
  <c r="T27" i="11"/>
  <c r="I29" i="11" l="1"/>
  <c r="F29" i="11"/>
  <c r="U27" i="11"/>
  <c r="V27" i="11"/>
  <c r="W27" i="11" s="1"/>
  <c r="B37" i="11"/>
  <c r="C37" i="11" s="1"/>
  <c r="D38" i="11"/>
  <c r="E37" i="11"/>
  <c r="R28" i="11"/>
  <c r="S28" i="11" s="1"/>
  <c r="G28" i="11"/>
  <c r="O30" i="11"/>
  <c r="Q29" i="11"/>
  <c r="J30" i="11"/>
  <c r="N31" i="11"/>
  <c r="P30" i="11"/>
  <c r="H30" i="11"/>
  <c r="U26" i="11"/>
  <c r="V26" i="11"/>
  <c r="W26" i="11" s="1"/>
  <c r="K29" i="11"/>
  <c r="M29" i="11" s="1"/>
  <c r="L29" i="11"/>
  <c r="T28" i="11" l="1"/>
  <c r="O31" i="11"/>
  <c r="Q30" i="11"/>
  <c r="B38" i="11"/>
  <c r="C38" i="11" s="1"/>
  <c r="D39" i="11"/>
  <c r="E38" i="11"/>
  <c r="I30" i="11"/>
  <c r="F30" i="11"/>
  <c r="G29" i="11"/>
  <c r="R29" i="11"/>
  <c r="S29" i="11" s="1"/>
  <c r="U28" i="11"/>
  <c r="V28" i="11"/>
  <c r="W28" i="11" s="1"/>
  <c r="N32" i="11"/>
  <c r="P31" i="11"/>
  <c r="H31" i="11"/>
  <c r="J31" i="11"/>
  <c r="K30" i="11"/>
  <c r="M30" i="11" s="1"/>
  <c r="L30" i="11"/>
  <c r="R30" i="11" l="1"/>
  <c r="S30" i="11" s="1"/>
  <c r="G30" i="11"/>
  <c r="T30" i="11"/>
  <c r="K31" i="11"/>
  <c r="M31" i="11" s="1"/>
  <c r="L31" i="11"/>
  <c r="F31" i="11"/>
  <c r="I31" i="11"/>
  <c r="E39" i="11"/>
  <c r="B39" i="11"/>
  <c r="C39" i="11" s="1"/>
  <c r="D40" i="11"/>
  <c r="T29" i="11"/>
  <c r="P32" i="11"/>
  <c r="H32" i="11"/>
  <c r="J32" i="11"/>
  <c r="N33" i="11"/>
  <c r="O32" i="11"/>
  <c r="Q31" i="11"/>
  <c r="U29" i="11" l="1"/>
  <c r="V29" i="11"/>
  <c r="W29" i="11" s="1"/>
  <c r="K32" i="11"/>
  <c r="M32" i="11" s="1"/>
  <c r="L32" i="11"/>
  <c r="E40" i="11"/>
  <c r="D41" i="11"/>
  <c r="B40" i="11"/>
  <c r="C40" i="11" s="1"/>
  <c r="R31" i="11"/>
  <c r="S31" i="11" s="1"/>
  <c r="G31" i="11"/>
  <c r="T31" i="11"/>
  <c r="P33" i="11"/>
  <c r="H33" i="11"/>
  <c r="J33" i="11"/>
  <c r="N34" i="11"/>
  <c r="F32" i="11"/>
  <c r="I32" i="11"/>
  <c r="O33" i="11"/>
  <c r="Q32" i="11"/>
  <c r="U30" i="11"/>
  <c r="V30" i="11"/>
  <c r="W30" i="11" s="1"/>
  <c r="U31" i="11" l="1"/>
  <c r="V31" i="11"/>
  <c r="W31" i="11" s="1"/>
  <c r="B41" i="11"/>
  <c r="C41" i="11" s="1"/>
  <c r="D42" i="11"/>
  <c r="E41" i="11"/>
  <c r="R32" i="11"/>
  <c r="S32" i="11" s="1"/>
  <c r="G32" i="11"/>
  <c r="K33" i="11"/>
  <c r="M33" i="11" s="1"/>
  <c r="L33" i="11"/>
  <c r="Q33" i="11"/>
  <c r="O34" i="11"/>
  <c r="H34" i="11"/>
  <c r="J34" i="11"/>
  <c r="N35" i="11"/>
  <c r="P34" i="11"/>
  <c r="F33" i="11"/>
  <c r="I33" i="11"/>
  <c r="R33" i="11" l="1"/>
  <c r="S33" i="11" s="1"/>
  <c r="G33" i="11"/>
  <c r="T33" i="11"/>
  <c r="B42" i="11"/>
  <c r="C42" i="11" s="1"/>
  <c r="D43" i="11"/>
  <c r="E42" i="11"/>
  <c r="T32" i="11"/>
  <c r="H35" i="11"/>
  <c r="J35" i="11"/>
  <c r="N36" i="11"/>
  <c r="P35" i="11"/>
  <c r="F34" i="11"/>
  <c r="I34" i="11"/>
  <c r="K34" i="11"/>
  <c r="M34" i="11" s="1"/>
  <c r="L34" i="11"/>
  <c r="Q34" i="11"/>
  <c r="O35" i="11"/>
  <c r="I35" i="11" l="1"/>
  <c r="F35" i="11"/>
  <c r="K35" i="11"/>
  <c r="M35" i="11" s="1"/>
  <c r="L35" i="11"/>
  <c r="U32" i="11"/>
  <c r="V32" i="11"/>
  <c r="W32" i="11" s="1"/>
  <c r="B43" i="11"/>
  <c r="C43" i="11" s="1"/>
  <c r="D44" i="11"/>
  <c r="E43" i="11"/>
  <c r="U33" i="11"/>
  <c r="V33" i="11"/>
  <c r="W33" i="11" s="1"/>
  <c r="J36" i="11"/>
  <c r="N37" i="11"/>
  <c r="P36" i="11"/>
  <c r="H36" i="11"/>
  <c r="O36" i="11"/>
  <c r="Q35" i="11"/>
  <c r="R34" i="11"/>
  <c r="S34" i="11" s="1"/>
  <c r="G34" i="11"/>
  <c r="T34" i="11"/>
  <c r="U34" i="11" l="1"/>
  <c r="V34" i="11"/>
  <c r="W34" i="11" s="1"/>
  <c r="B44" i="11"/>
  <c r="C44" i="11" s="1"/>
  <c r="D45" i="11"/>
  <c r="E44" i="11"/>
  <c r="O37" i="11"/>
  <c r="Q36" i="11"/>
  <c r="G35" i="11"/>
  <c r="R35" i="11"/>
  <c r="S35" i="11" s="1"/>
  <c r="I36" i="11"/>
  <c r="F36" i="11"/>
  <c r="N38" i="11"/>
  <c r="P37" i="11"/>
  <c r="H37" i="11"/>
  <c r="J37" i="11"/>
  <c r="K36" i="11"/>
  <c r="M36" i="11" s="1"/>
  <c r="L36" i="11"/>
  <c r="T35" i="11" l="1"/>
  <c r="K37" i="11"/>
  <c r="M37" i="11" s="1"/>
  <c r="L37" i="11"/>
  <c r="O38" i="11"/>
  <c r="Q37" i="11"/>
  <c r="F37" i="11"/>
  <c r="I37" i="11"/>
  <c r="P38" i="11"/>
  <c r="H38" i="11"/>
  <c r="J38" i="11"/>
  <c r="N39" i="11"/>
  <c r="E45" i="11"/>
  <c r="B45" i="11"/>
  <c r="C45" i="11" s="1"/>
  <c r="D46" i="11"/>
  <c r="R36" i="11"/>
  <c r="S36" i="11" s="1"/>
  <c r="G36" i="11"/>
  <c r="T36" i="11"/>
  <c r="P39" i="11" l="1"/>
  <c r="H39" i="11"/>
  <c r="J39" i="11"/>
  <c r="N40" i="11"/>
  <c r="R37" i="11"/>
  <c r="S37" i="11" s="1"/>
  <c r="G37" i="11"/>
  <c r="T37" i="11"/>
  <c r="L38" i="11"/>
  <c r="K38" i="11"/>
  <c r="M38" i="11" s="1"/>
  <c r="F38" i="11"/>
  <c r="I38" i="11"/>
  <c r="U36" i="11"/>
  <c r="V36" i="11"/>
  <c r="W36" i="11" s="1"/>
  <c r="O39" i="11"/>
  <c r="Q38" i="11"/>
  <c r="E46" i="11"/>
  <c r="D47" i="11"/>
  <c r="B46" i="11"/>
  <c r="C46" i="11" s="1"/>
  <c r="U35" i="11"/>
  <c r="V35" i="11"/>
  <c r="W35" i="11" s="1"/>
  <c r="R38" i="11" l="1"/>
  <c r="S38" i="11" s="1"/>
  <c r="G38" i="11"/>
  <c r="T38" i="11"/>
  <c r="K39" i="11"/>
  <c r="M39" i="11" s="1"/>
  <c r="L39" i="11"/>
  <c r="Q39" i="11"/>
  <c r="O40" i="11"/>
  <c r="U37" i="11"/>
  <c r="V37" i="11"/>
  <c r="W37" i="11" s="1"/>
  <c r="B47" i="11"/>
  <c r="C47" i="11" s="1"/>
  <c r="D48" i="11"/>
  <c r="E47" i="11"/>
  <c r="H40" i="11"/>
  <c r="J40" i="11"/>
  <c r="N41" i="11"/>
  <c r="P40" i="11"/>
  <c r="F39" i="11"/>
  <c r="I39" i="11"/>
  <c r="Q40" i="11" l="1"/>
  <c r="O41" i="11"/>
  <c r="U38" i="11"/>
  <c r="V38" i="11"/>
  <c r="W38" i="11" s="1"/>
  <c r="R39" i="11"/>
  <c r="S39" i="11" s="1"/>
  <c r="G39" i="11"/>
  <c r="T39" i="11"/>
  <c r="H41" i="11"/>
  <c r="J41" i="11"/>
  <c r="N42" i="11"/>
  <c r="P41" i="11"/>
  <c r="F40" i="11"/>
  <c r="I40" i="11"/>
  <c r="B48" i="11"/>
  <c r="C48" i="11" s="1"/>
  <c r="E48" i="11"/>
  <c r="D49" i="11"/>
  <c r="K40" i="11"/>
  <c r="M40" i="11" s="1"/>
  <c r="L40" i="11"/>
  <c r="K41" i="11" l="1"/>
  <c r="M41" i="11" s="1"/>
  <c r="L41" i="11"/>
  <c r="B49" i="11"/>
  <c r="C49" i="11" s="1"/>
  <c r="E49" i="11"/>
  <c r="D50" i="11"/>
  <c r="R40" i="11"/>
  <c r="S40" i="11" s="1"/>
  <c r="G40" i="11"/>
  <c r="T40" i="11"/>
  <c r="J42" i="11"/>
  <c r="N43" i="11"/>
  <c r="P42" i="11"/>
  <c r="H42" i="11"/>
  <c r="U39" i="11"/>
  <c r="V39" i="11"/>
  <c r="W39" i="11" s="1"/>
  <c r="I41" i="11"/>
  <c r="F41" i="11"/>
  <c r="O42" i="11"/>
  <c r="Q41" i="11"/>
  <c r="B50" i="11" l="1"/>
  <c r="C50" i="11" s="1"/>
  <c r="D51" i="11"/>
  <c r="E50" i="11"/>
  <c r="K42" i="11"/>
  <c r="M42" i="11" s="1"/>
  <c r="L42" i="11"/>
  <c r="G41" i="11"/>
  <c r="R41" i="11"/>
  <c r="S41" i="11" s="1"/>
  <c r="U40" i="11"/>
  <c r="V40" i="11"/>
  <c r="W40" i="11" s="1"/>
  <c r="O43" i="11"/>
  <c r="Q42" i="11"/>
  <c r="N44" i="11"/>
  <c r="P43" i="11"/>
  <c r="H43" i="11"/>
  <c r="J43" i="11"/>
  <c r="I42" i="11"/>
  <c r="F42" i="11"/>
  <c r="T41" i="11" l="1"/>
  <c r="F43" i="11"/>
  <c r="I43" i="11"/>
  <c r="O44" i="11"/>
  <c r="Q43" i="11"/>
  <c r="K43" i="11"/>
  <c r="M43" i="11" s="1"/>
  <c r="L43" i="11"/>
  <c r="P44" i="11"/>
  <c r="H44" i="11"/>
  <c r="N45" i="11"/>
  <c r="J44" i="11"/>
  <c r="D52" i="11"/>
  <c r="B51" i="11"/>
  <c r="C51" i="11" s="1"/>
  <c r="E51" i="11"/>
  <c r="G42" i="11"/>
  <c r="R42" i="11"/>
  <c r="S42" i="11" s="1"/>
  <c r="E52" i="11" l="1"/>
  <c r="D53" i="11"/>
  <c r="B52" i="11"/>
  <c r="C52" i="11" s="1"/>
  <c r="P45" i="11"/>
  <c r="H45" i="11"/>
  <c r="J45" i="11"/>
  <c r="N46" i="11"/>
  <c r="O45" i="11"/>
  <c r="Q44" i="11"/>
  <c r="F44" i="11"/>
  <c r="I44" i="11"/>
  <c r="R43" i="11"/>
  <c r="S43" i="11" s="1"/>
  <c r="G43" i="11"/>
  <c r="L44" i="11"/>
  <c r="K44" i="11"/>
  <c r="M44" i="11" s="1"/>
  <c r="T42" i="11"/>
  <c r="U41" i="11"/>
  <c r="V41" i="11"/>
  <c r="W41" i="11" s="1"/>
  <c r="T43" i="11" l="1"/>
  <c r="F45" i="11"/>
  <c r="I45" i="11"/>
  <c r="H46" i="11"/>
  <c r="J46" i="11"/>
  <c r="N47" i="11"/>
  <c r="P46" i="11"/>
  <c r="U42" i="11"/>
  <c r="V42" i="11"/>
  <c r="W42" i="11" s="1"/>
  <c r="U43" i="11"/>
  <c r="V43" i="11"/>
  <c r="W43" i="11" s="1"/>
  <c r="Q45" i="11"/>
  <c r="O46" i="11"/>
  <c r="E53" i="11"/>
  <c r="B53" i="11"/>
  <c r="C53" i="11" s="1"/>
  <c r="D54" i="11"/>
  <c r="R44" i="11"/>
  <c r="S44" i="11" s="1"/>
  <c r="G44" i="11"/>
  <c r="T44" i="11"/>
  <c r="K45" i="11"/>
  <c r="M45" i="11" s="1"/>
  <c r="L45" i="11"/>
  <c r="Q46" i="11" l="1"/>
  <c r="O47" i="11"/>
  <c r="H47" i="11"/>
  <c r="J47" i="11"/>
  <c r="P47" i="11"/>
  <c r="N48" i="11"/>
  <c r="F46" i="11"/>
  <c r="I46" i="11"/>
  <c r="U44" i="11"/>
  <c r="V44" i="11"/>
  <c r="W44" i="11" s="1"/>
  <c r="B54" i="11"/>
  <c r="C54" i="11" s="1"/>
  <c r="E54" i="11"/>
  <c r="K46" i="11"/>
  <c r="M46" i="11" s="1"/>
  <c r="L46" i="11"/>
  <c r="R45" i="11"/>
  <c r="S45" i="11" s="1"/>
  <c r="G45" i="11"/>
  <c r="T45" i="11"/>
  <c r="R46" i="11" l="1"/>
  <c r="S46" i="11" s="1"/>
  <c r="G46" i="11"/>
  <c r="T46" i="11"/>
  <c r="K47" i="11"/>
  <c r="M47" i="11" s="1"/>
  <c r="L47" i="11"/>
  <c r="U45" i="11"/>
  <c r="V45" i="11"/>
  <c r="W45" i="11" s="1"/>
  <c r="J48" i="11"/>
  <c r="P48" i="11"/>
  <c r="N49" i="11"/>
  <c r="H48" i="11"/>
  <c r="I47" i="11"/>
  <c r="F47" i="11"/>
  <c r="O48" i="11"/>
  <c r="Q47" i="11"/>
  <c r="K48" i="11" l="1"/>
  <c r="M48" i="11" s="1"/>
  <c r="L48" i="11"/>
  <c r="U46" i="11"/>
  <c r="V46" i="11"/>
  <c r="W46" i="11" s="1"/>
  <c r="Q48" i="11"/>
  <c r="O49" i="11"/>
  <c r="I48" i="11"/>
  <c r="F48" i="11"/>
  <c r="H49" i="11"/>
  <c r="J49" i="11"/>
  <c r="N50" i="11"/>
  <c r="P49" i="11"/>
  <c r="G47" i="11"/>
  <c r="R47" i="11"/>
  <c r="S47" i="11" s="1"/>
  <c r="F49" i="11" l="1"/>
  <c r="I49" i="11"/>
  <c r="N51" i="11"/>
  <c r="P50" i="11"/>
  <c r="H50" i="11"/>
  <c r="J50" i="11"/>
  <c r="K49" i="11"/>
  <c r="M49" i="11" s="1"/>
  <c r="L49" i="11"/>
  <c r="G48" i="11"/>
  <c r="R48" i="11"/>
  <c r="S48" i="11" s="1"/>
  <c r="O50" i="11"/>
  <c r="Q49" i="11"/>
  <c r="T47" i="11"/>
  <c r="O51" i="11" l="1"/>
  <c r="Q50" i="11"/>
  <c r="K50" i="11"/>
  <c r="M50" i="11" s="1"/>
  <c r="L50" i="11"/>
  <c r="U47" i="11"/>
  <c r="V47" i="11"/>
  <c r="W47" i="11" s="1"/>
  <c r="T48" i="11"/>
  <c r="F50" i="11"/>
  <c r="I50" i="11"/>
  <c r="H51" i="11"/>
  <c r="P51" i="11"/>
  <c r="J51" i="11"/>
  <c r="N52" i="11"/>
  <c r="G49" i="11"/>
  <c r="R49" i="11"/>
  <c r="S49" i="11" s="1"/>
  <c r="U48" i="11" l="1"/>
  <c r="V48" i="11"/>
  <c r="W48" i="11" s="1"/>
  <c r="F51" i="11"/>
  <c r="I51" i="11"/>
  <c r="K51" i="11"/>
  <c r="M51" i="11" s="1"/>
  <c r="L51" i="11"/>
  <c r="R50" i="11"/>
  <c r="S50" i="11" s="1"/>
  <c r="G50" i="11"/>
  <c r="T49" i="11"/>
  <c r="P52" i="11"/>
  <c r="N53" i="11"/>
  <c r="J52" i="11"/>
  <c r="H52" i="11"/>
  <c r="O52" i="11"/>
  <c r="Q51" i="11"/>
  <c r="T50" i="11" l="1"/>
  <c r="H53" i="11"/>
  <c r="J53" i="11"/>
  <c r="N54" i="11"/>
  <c r="P53" i="11"/>
  <c r="U50" i="11"/>
  <c r="V50" i="11"/>
  <c r="W50" i="11" s="1"/>
  <c r="R51" i="11"/>
  <c r="S51" i="11" s="1"/>
  <c r="G51" i="11"/>
  <c r="U49" i="11"/>
  <c r="V49" i="11"/>
  <c r="W49" i="11" s="1"/>
  <c r="Q52" i="11"/>
  <c r="O53" i="11"/>
  <c r="F52" i="11"/>
  <c r="I52" i="11"/>
  <c r="L52" i="11"/>
  <c r="K52" i="11"/>
  <c r="M52" i="11" s="1"/>
  <c r="T51" i="11" l="1"/>
  <c r="H54" i="11"/>
  <c r="N55" i="11"/>
  <c r="J54" i="11"/>
  <c r="P54" i="11"/>
  <c r="K53" i="11"/>
  <c r="M53" i="11" s="1"/>
  <c r="L53" i="11"/>
  <c r="R52" i="11"/>
  <c r="S52" i="11" s="1"/>
  <c r="G52" i="11"/>
  <c r="Q53" i="11"/>
  <c r="O54" i="11"/>
  <c r="I53" i="11"/>
  <c r="F53" i="11"/>
  <c r="O55" i="11" l="1"/>
  <c r="Q55" i="11" s="1"/>
  <c r="Q54" i="11"/>
  <c r="T52" i="11"/>
  <c r="L54" i="11"/>
  <c r="K54" i="11"/>
  <c r="M54" i="11" s="1"/>
  <c r="I54" i="11"/>
  <c r="F54" i="11"/>
  <c r="J55" i="11"/>
  <c r="P55" i="11"/>
  <c r="H55" i="11"/>
  <c r="R53" i="11"/>
  <c r="S53" i="11" s="1"/>
  <c r="G53" i="11"/>
  <c r="U51" i="11"/>
  <c r="V51" i="11"/>
  <c r="W51" i="11" s="1"/>
  <c r="G54" i="11" l="1"/>
  <c r="R54" i="11"/>
  <c r="S54" i="11" s="1"/>
  <c r="I55" i="11"/>
  <c r="F55" i="11"/>
  <c r="K55" i="11"/>
  <c r="M55" i="11" s="1"/>
  <c r="L55" i="11"/>
  <c r="U52" i="11"/>
  <c r="V52" i="11"/>
  <c r="W52" i="11" s="1"/>
  <c r="T53" i="11"/>
  <c r="U53" i="11" l="1"/>
  <c r="V53" i="11"/>
  <c r="W53" i="11" s="1"/>
  <c r="G55" i="11"/>
  <c r="R55" i="11"/>
  <c r="S55" i="11" s="1"/>
  <c r="T54" i="11"/>
  <c r="U54" i="11" l="1"/>
  <c r="V54" i="11"/>
  <c r="W54" i="11" s="1"/>
  <c r="T55" i="11"/>
  <c r="V55" i="11" l="1"/>
  <c r="W55" i="11" s="1"/>
  <c r="U55" i="11"/>
</calcChain>
</file>

<file path=xl/sharedStrings.xml><?xml version="1.0" encoding="utf-8"?>
<sst xmlns="http://schemas.openxmlformats.org/spreadsheetml/2006/main" count="191" uniqueCount="110">
  <si>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</si>
  <si>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</si>
  <si>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</si>
  <si>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</si>
  <si>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</si>
  <si>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</si>
  <si>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</si>
  <si>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</si>
  <si>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</si>
  <si>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</si>
  <si>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</si>
  <si>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</si>
  <si>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</si>
  <si>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</si>
  <si>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</si>
  <si>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</si>
  <si>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</si>
  <si>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</si>
  <si>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</si>
  <si>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</si>
  <si>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</si>
  <si>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</si>
  <si>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</si>
  <si>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</si>
  <si>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</si>
  <si>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</si>
  <si>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</si>
  <si>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</si>
  <si>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</si>
  <si>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</si>
  <si>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</si>
  <si>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</si>
  <si>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</si>
  <si>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</si>
  <si>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</si>
  <si>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</si>
  <si>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</si>
  <si>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</si>
  <si>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</si>
  <si>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</si>
  <si>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</si>
  <si>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</si>
  <si>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</si>
  <si>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</si>
  <si>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</si>
  <si>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</si>
  <si>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</si>
  <si>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</si>
  <si>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</si>
  <si>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</si>
  <si>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</si>
  <si>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</si>
  <si>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</si>
  <si>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</si>
  <si>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</si>
  <si>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</si>
  <si>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</si>
  <si>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</si>
  <si>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</si>
  <si>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</si>
  <si>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</si>
  <si>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</si>
  <si>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</si>
  <si>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</si>
  <si>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</si>
  <si>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</si>
  <si>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</si>
  <si>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</si>
  <si>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</si>
  <si>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</si>
  <si>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</si>
  <si>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</si>
  <si>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</si>
  <si>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</si>
  <si>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</si>
  <si>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</si>
  <si>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</si>
  <si>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</si>
  <si>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</si>
  <si>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</si>
  <si>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</si>
  <si>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</si>
  <si>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</si>
  <si>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</si>
  <si>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</si>
  <si>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</si>
  <si>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</si>
  <si>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</si>
  <si>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</si>
  <si>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</si>
  <si>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</si>
  <si>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</si>
  <si>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</si>
  <si>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</si>
  <si>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</si>
  <si>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1. Since we know M2, we can solve for M1 from the fL/D Eqn 1</t>
  </si>
  <si>
    <t>2. Since we know M1 and M2, plus To_1 and To_2, we can get the static temperatures</t>
  </si>
  <si>
    <t>2. We know that To2 = To1 since the flow is adiabatic and air is acting as a calorically perfect gas</t>
  </si>
  <si>
    <t>Po1</t>
  </si>
  <si>
    <t>x</t>
  </si>
  <si>
    <t>M</t>
  </si>
  <si>
    <t>f(M)</t>
  </si>
  <si>
    <t>P</t>
  </si>
  <si>
    <t>Po</t>
  </si>
  <si>
    <t>To</t>
  </si>
  <si>
    <t>rho</t>
  </si>
  <si>
    <t>V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</si>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</sst>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0" fontId="1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111</xdr:row>
          <xdr:rowOff>133350</xdr:rowOff>
        </xdr:from>
        <xdr:to>
          <xdr:col>7</xdr:col>
          <xdr:colOff>390525</xdr:colOff>
          <xdr:row>115</xdr:row>
          <xdr:rowOff>57150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6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127</xdr:row>
          <xdr:rowOff>152400</xdr:rowOff>
        </xdr:from>
        <xdr:to>
          <xdr:col>6</xdr:col>
          <xdr:colOff>457200</xdr:colOff>
          <xdr:row>129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122</xdr:row>
          <xdr:rowOff>47625</xdr:rowOff>
        </xdr:from>
        <xdr:to>
          <xdr:col>8</xdr:col>
          <xdr:colOff>133350</xdr:colOff>
          <xdr:row>126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117</xdr:row>
          <xdr:rowOff>76200</xdr:rowOff>
        </xdr:from>
        <xdr:to>
          <xdr:col>9</xdr:col>
          <xdr:colOff>123825</xdr:colOff>
          <xdr:row>121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54</xdr:row>
      <xdr:rowOff>66675</xdr:rowOff>
    </xdr:from>
    <xdr:to>
      <xdr:col>14</xdr:col>
      <xdr:colOff>303503</xdr:colOff>
      <xdr:row>59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419100</xdr:colOff>
      <xdr:row>82</xdr:row>
      <xdr:rowOff>95250</xdr:rowOff>
    </xdr:from>
    <xdr:to>
      <xdr:col>5</xdr:col>
      <xdr:colOff>323850</xdr:colOff>
      <xdr:row>84</xdr:row>
      <xdr:rowOff>76200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5763875"/>
          <a:ext cx="1495425" cy="3619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390525</xdr:colOff>
      <xdr:row>73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22850475"/>
          <a:ext cx="1676400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561975</xdr:colOff>
      <xdr:row>80</xdr:row>
      <xdr:rowOff>114300</xdr:rowOff>
    </xdr:from>
    <xdr:to>
      <xdr:col>5</xdr:col>
      <xdr:colOff>333375</xdr:colOff>
      <xdr:row>82</xdr:row>
      <xdr:rowOff>123825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57525" y="15401925"/>
          <a:ext cx="1362075" cy="3905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76</xdr:row>
      <xdr:rowOff>66675</xdr:rowOff>
    </xdr:from>
    <xdr:to>
      <xdr:col>5</xdr:col>
      <xdr:colOff>304800</xdr:colOff>
      <xdr:row>76</xdr:row>
      <xdr:rowOff>185738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>
          <a:endCxn id="57" idx="1"/>
        </xdr:cNvCxnSpPr>
      </xdr:nvCxnSpPr>
      <xdr:spPr>
        <a:xfrm>
          <a:off x="3743325" y="14592300"/>
          <a:ext cx="647700" cy="11906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78</xdr:row>
      <xdr:rowOff>95250</xdr:rowOff>
    </xdr:from>
    <xdr:to>
      <xdr:col>5</xdr:col>
      <xdr:colOff>323850</xdr:colOff>
      <xdr:row>80</xdr:row>
      <xdr:rowOff>10193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847975" y="15001875"/>
          <a:ext cx="1562100" cy="29594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94</xdr:row>
      <xdr:rowOff>142875</xdr:rowOff>
    </xdr:from>
    <xdr:to>
      <xdr:col>5</xdr:col>
      <xdr:colOff>209550</xdr:colOff>
      <xdr:row>95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94</xdr:row>
      <xdr:rowOff>85725</xdr:rowOff>
    </xdr:from>
    <xdr:to>
      <xdr:col>2</xdr:col>
      <xdr:colOff>247651</xdr:colOff>
      <xdr:row>105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120</xdr:row>
      <xdr:rowOff>171450</xdr:rowOff>
    </xdr:from>
    <xdr:to>
      <xdr:col>4</xdr:col>
      <xdr:colOff>542925</xdr:colOff>
      <xdr:row>121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123</xdr:row>
      <xdr:rowOff>104775</xdr:rowOff>
    </xdr:from>
    <xdr:to>
      <xdr:col>4</xdr:col>
      <xdr:colOff>542925</xdr:colOff>
      <xdr:row>124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127</xdr:row>
      <xdr:rowOff>123826</xdr:rowOff>
    </xdr:from>
    <xdr:to>
      <xdr:col>4</xdr:col>
      <xdr:colOff>571500</xdr:colOff>
      <xdr:row>128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129</xdr:row>
      <xdr:rowOff>95254</xdr:rowOff>
    </xdr:from>
    <xdr:to>
      <xdr:col>4</xdr:col>
      <xdr:colOff>581025</xdr:colOff>
      <xdr:row>130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132</xdr:row>
      <xdr:rowOff>104777</xdr:rowOff>
    </xdr:from>
    <xdr:to>
      <xdr:col>4</xdr:col>
      <xdr:colOff>600075</xdr:colOff>
      <xdr:row>133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93</xdr:row>
          <xdr:rowOff>114300</xdr:rowOff>
        </xdr:from>
        <xdr:to>
          <xdr:col>7</xdr:col>
          <xdr:colOff>285750</xdr:colOff>
          <xdr:row>97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83</xdr:row>
          <xdr:rowOff>142875</xdr:rowOff>
        </xdr:from>
        <xdr:to>
          <xdr:col>7</xdr:col>
          <xdr:colOff>209550</xdr:colOff>
          <xdr:row>85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71</xdr:row>
          <xdr:rowOff>180975</xdr:rowOff>
        </xdr:from>
        <xdr:to>
          <xdr:col>8</xdr:col>
          <xdr:colOff>390525</xdr:colOff>
          <xdr:row>75</xdr:row>
          <xdr:rowOff>38100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81</xdr:row>
          <xdr:rowOff>171450</xdr:rowOff>
        </xdr:from>
        <xdr:to>
          <xdr:col>7</xdr:col>
          <xdr:colOff>85725</xdr:colOff>
          <xdr:row>83</xdr:row>
          <xdr:rowOff>76200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130</xdr:row>
          <xdr:rowOff>19050</xdr:rowOff>
        </xdr:from>
        <xdr:to>
          <xdr:col>6</xdr:col>
          <xdr:colOff>352425</xdr:colOff>
          <xdr:row>131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132</xdr:row>
          <xdr:rowOff>57150</xdr:rowOff>
        </xdr:from>
        <xdr:to>
          <xdr:col>7</xdr:col>
          <xdr:colOff>38100</xdr:colOff>
          <xdr:row>136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323850</xdr:colOff>
      <xdr:row>78</xdr:row>
      <xdr:rowOff>85725</xdr:rowOff>
    </xdr:from>
    <xdr:to>
      <xdr:col>6</xdr:col>
      <xdr:colOff>605584</xdr:colOff>
      <xdr:row>81</xdr:row>
      <xdr:rowOff>125161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136</xdr:row>
      <xdr:rowOff>142875</xdr:rowOff>
    </xdr:from>
    <xdr:to>
      <xdr:col>6</xdr:col>
      <xdr:colOff>291259</xdr:colOff>
      <xdr:row>139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134</xdr:row>
      <xdr:rowOff>161925</xdr:rowOff>
    </xdr:from>
    <xdr:to>
      <xdr:col>5</xdr:col>
      <xdr:colOff>9525</xdr:colOff>
      <xdr:row>138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571500</xdr:colOff>
      <xdr:row>58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60</xdr:row>
      <xdr:rowOff>114300</xdr:rowOff>
    </xdr:from>
    <xdr:to>
      <xdr:col>4</xdr:col>
      <xdr:colOff>523624</xdr:colOff>
      <xdr:row>67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15919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75</xdr:row>
      <xdr:rowOff>152400</xdr:rowOff>
    </xdr:from>
    <xdr:to>
      <xdr:col>7</xdr:col>
      <xdr:colOff>454244</xdr:colOff>
      <xdr:row>78</xdr:row>
      <xdr:rowOff>28575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00000000-0008-0000-0600-000039000000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𝑍𝑅𝑇</m:t>
                        </m:r>
                      </m:e>
                    </m:rad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47EAC88D-2F59-23DD-3787-149E7E64DF3F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𝑐=√𝛾𝑍𝑅𝑇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86</xdr:row>
          <xdr:rowOff>114300</xdr:rowOff>
        </xdr:from>
        <xdr:to>
          <xdr:col>9</xdr:col>
          <xdr:colOff>561975</xdr:colOff>
          <xdr:row>91</xdr:row>
          <xdr:rowOff>38100</xdr:rowOff>
        </xdr:to>
        <xdr:sp macro="" textlink="">
          <xdr:nvSpPr>
            <xdr:cNvPr id="1090" name="Object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6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381000</xdr:colOff>
      <xdr:row>87</xdr:row>
      <xdr:rowOff>104775</xdr:rowOff>
    </xdr:from>
    <xdr:to>
      <xdr:col>5</xdr:col>
      <xdr:colOff>323850</xdr:colOff>
      <xdr:row>88</xdr:row>
      <xdr:rowOff>171450</xdr:rowOff>
    </xdr:to>
    <xdr:cxnSp macro="">
      <xdr:nvCxnSpPr>
        <xdr:cNvPr id="1024" name="Straight Connector 1023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CxnSpPr/>
      </xdr:nvCxnSpPr>
      <xdr:spPr>
        <a:xfrm>
          <a:off x="2876550" y="16725900"/>
          <a:ext cx="1533525" cy="2571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112</xdr:row>
      <xdr:rowOff>180975</xdr:rowOff>
    </xdr:from>
    <xdr:to>
      <xdr:col>4</xdr:col>
      <xdr:colOff>428625</xdr:colOff>
      <xdr:row>113</xdr:row>
      <xdr:rowOff>133350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V="1">
          <a:off x="2924175" y="21583650"/>
          <a:ext cx="98107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111</xdr:row>
          <xdr:rowOff>142875</xdr:rowOff>
        </xdr:from>
        <xdr:to>
          <xdr:col>15</xdr:col>
          <xdr:colOff>57150</xdr:colOff>
          <xdr:row>115</xdr:row>
          <xdr:rowOff>123825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6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81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61</v>
      </c>
      <c r="G6" s="4"/>
    </row>
    <row r="7" spans="2:7" x14ac:dyDescent="0.25">
      <c r="B7" s="24" t="s">
        <v>57</v>
      </c>
      <c r="C7">
        <v>1</v>
      </c>
      <c r="D7" t="s">
        <v>78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4" t="s">
        <v>29</v>
      </c>
      <c r="C9">
        <v>273.14999999999998</v>
      </c>
      <c r="D9" t="s">
        <v>79</v>
      </c>
      <c r="E9" t="s">
        <v>58</v>
      </c>
      <c r="G9" s="4"/>
    </row>
    <row r="10" spans="2:7" x14ac:dyDescent="0.25">
      <c r="B10" s="3" t="s">
        <v>59</v>
      </c>
      <c r="C10">
        <v>778.17</v>
      </c>
      <c r="D10" t="s">
        <v>30</v>
      </c>
      <c r="E10" t="s">
        <v>60</v>
      </c>
      <c r="G10" s="4"/>
    </row>
    <row r="11" spans="2:7" x14ac:dyDescent="0.25">
      <c r="B11" s="3" t="s">
        <v>70</v>
      </c>
      <c r="C11">
        <v>0.245</v>
      </c>
      <c r="D11" t="s">
        <v>71</v>
      </c>
      <c r="E11" t="s">
        <v>72</v>
      </c>
      <c r="G11" s="4"/>
    </row>
    <row r="12" spans="2:7" x14ac:dyDescent="0.25">
      <c r="B12" s="24" t="s">
        <v>70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2" t="s">
        <v>80</v>
      </c>
      <c r="C14" s="20"/>
      <c r="G14" s="4"/>
    </row>
    <row r="15" spans="2:7" x14ac:dyDescent="0.25">
      <c r="B15" s="3" t="s">
        <v>32</v>
      </c>
      <c r="C15">
        <v>25</v>
      </c>
      <c r="D15" t="s">
        <v>15</v>
      </c>
      <c r="E15" t="s">
        <v>33</v>
      </c>
      <c r="G15" s="4"/>
    </row>
    <row r="16" spans="2:7" x14ac:dyDescent="0.25">
      <c r="B16" s="24" t="s">
        <v>32</v>
      </c>
      <c r="C16" s="11">
        <f>L/3.28084</f>
        <v>7.6199997561600075</v>
      </c>
      <c r="D16" t="s">
        <v>56</v>
      </c>
      <c r="G16" s="4"/>
    </row>
    <row r="17" spans="2:7" x14ac:dyDescent="0.25">
      <c r="B17" s="3" t="s">
        <v>12</v>
      </c>
      <c r="C17">
        <v>4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10.16</v>
      </c>
      <c r="D18" t="s">
        <v>62</v>
      </c>
      <c r="G18" s="4"/>
    </row>
    <row r="19" spans="2:7" x14ac:dyDescent="0.25">
      <c r="B19" s="3" t="s">
        <v>12</v>
      </c>
      <c r="C19" s="10">
        <f>C17/12</f>
        <v>0.33333333333333331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0.1016260162601626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12.566370614359172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81.073196655599631</v>
      </c>
      <c r="D22" t="s">
        <v>63</v>
      </c>
      <c r="G22" s="4"/>
    </row>
    <row r="23" spans="2:7" x14ac:dyDescent="0.25">
      <c r="B23" s="3" t="s">
        <v>16</v>
      </c>
      <c r="C23" s="9">
        <f>C21/144</f>
        <v>8.7266462599716474E-2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8.1114722077368813E-3</v>
      </c>
      <c r="D24" t="s">
        <v>64</v>
      </c>
      <c r="G24" s="4"/>
    </row>
    <row r="25" spans="2:7" ht="15.75" thickBot="1" x14ac:dyDescent="0.3">
      <c r="B25" s="6" t="s">
        <v>34</v>
      </c>
      <c r="C25" s="7">
        <v>1.6E-2</v>
      </c>
      <c r="D25" s="16" t="s">
        <v>6</v>
      </c>
      <c r="E25" s="7" t="s">
        <v>87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8">
        <v>26.399289474278024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11.97445371263777</v>
      </c>
      <c r="D38" t="s">
        <v>69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4" t="s">
        <v>37</v>
      </c>
      <c r="C40" s="21">
        <f>(C39+459.67)/1.8-273.15</f>
        <v>93.333333333333371</v>
      </c>
      <c r="D40" t="s">
        <v>82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77</v>
      </c>
      <c r="P42" s="4"/>
    </row>
    <row r="43" spans="2:16" x14ac:dyDescent="0.25">
      <c r="B43" s="3"/>
      <c r="P43" s="4"/>
    </row>
    <row r="44" spans="2:16" x14ac:dyDescent="0.25">
      <c r="B44" s="22" t="s">
        <v>23</v>
      </c>
      <c r="P44" s="4"/>
    </row>
    <row r="45" spans="2:16" x14ac:dyDescent="0.25">
      <c r="B45" s="3" t="s">
        <v>36</v>
      </c>
      <c r="C45" s="14">
        <v>1</v>
      </c>
      <c r="P45" s="4"/>
    </row>
    <row r="46" spans="2:16" x14ac:dyDescent="0.25">
      <c r="B46" s="3"/>
      <c r="P46" s="4"/>
    </row>
    <row r="47" spans="2:16" x14ac:dyDescent="0.25">
      <c r="B47" s="3"/>
      <c r="P47" s="4"/>
    </row>
    <row r="48" spans="2:16" x14ac:dyDescent="0.25">
      <c r="B48" s="3"/>
      <c r="P48" s="4"/>
    </row>
    <row r="49" spans="2:16" x14ac:dyDescent="0.25">
      <c r="B49" s="31" t="s">
        <v>95</v>
      </c>
      <c r="P49" s="4"/>
    </row>
    <row r="50" spans="2:16" x14ac:dyDescent="0.25">
      <c r="B50" s="3"/>
      <c r="P50" s="4"/>
    </row>
    <row r="51" spans="2:16" x14ac:dyDescent="0.25">
      <c r="B51" s="3"/>
      <c r="P51" s="4"/>
    </row>
    <row r="52" spans="2:16" x14ac:dyDescent="0.25">
      <c r="B52" s="3" t="s">
        <v>38</v>
      </c>
      <c r="C52" s="14">
        <v>0.48484131654975843</v>
      </c>
      <c r="D52" s="15" t="s">
        <v>73</v>
      </c>
      <c r="E52" s="15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29" t="s">
        <v>90</v>
      </c>
      <c r="F54" s="30"/>
      <c r="P54" s="4"/>
    </row>
    <row r="55" spans="2:16" x14ac:dyDescent="0.25">
      <c r="B55" s="3"/>
      <c r="P55" s="4"/>
    </row>
    <row r="56" spans="2:16" x14ac:dyDescent="0.25">
      <c r="B56" s="3" t="s">
        <v>35</v>
      </c>
      <c r="C56" s="18">
        <f>f*L/D</f>
        <v>1.2000000000000002</v>
      </c>
      <c r="D56" t="s">
        <v>88</v>
      </c>
      <c r="P56" s="4"/>
    </row>
    <row r="57" spans="2:16" x14ac:dyDescent="0.25">
      <c r="B57" s="26" t="s">
        <v>91</v>
      </c>
      <c r="P57" s="4"/>
    </row>
    <row r="58" spans="2:16" x14ac:dyDescent="0.25">
      <c r="B58" s="3" t="s">
        <v>92</v>
      </c>
      <c r="C58" s="18">
        <f>1/Gam*(1/M_1^2-1/M_2^2)+(Gam+1)/2/Gam*LN((M_1^2/M_2^2)*(1+M_2^2*(Gam-1)/2)/(1+M_1^2*(Gam-1)/2))</f>
        <v>1.2001758510981519</v>
      </c>
      <c r="D58" t="s">
        <v>93</v>
      </c>
      <c r="P58" s="4"/>
    </row>
    <row r="59" spans="2:16" x14ac:dyDescent="0.25">
      <c r="B59" s="26"/>
      <c r="C59" s="25"/>
      <c r="D59" s="25"/>
      <c r="P59" s="4"/>
    </row>
    <row r="60" spans="2:16" x14ac:dyDescent="0.25">
      <c r="B60" s="26" t="s">
        <v>94</v>
      </c>
      <c r="C60" s="32">
        <f>C56-C58</f>
        <v>-1.7585109815176914E-4</v>
      </c>
      <c r="D60" s="25" t="s">
        <v>74</v>
      </c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/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1" t="s">
        <v>96</v>
      </c>
      <c r="P71" s="4"/>
    </row>
    <row r="72" spans="2:16" x14ac:dyDescent="0.25">
      <c r="B72" s="3"/>
      <c r="P72" s="4"/>
    </row>
    <row r="73" spans="2:16" x14ac:dyDescent="0.25">
      <c r="B73" s="3" t="s">
        <v>40</v>
      </c>
      <c r="C73" s="10">
        <f>To_1/(1+M_1^2*(Gam-1)/2)</f>
        <v>630.04874921233807</v>
      </c>
      <c r="D73" t="s">
        <v>20</v>
      </c>
      <c r="P73" s="4"/>
    </row>
    <row r="74" spans="2:16" x14ac:dyDescent="0.25">
      <c r="B74" s="3" t="s">
        <v>40</v>
      </c>
      <c r="C74" s="10">
        <f>C73-C8</f>
        <v>170.37874921233805</v>
      </c>
      <c r="D74" t="s">
        <v>2</v>
      </c>
      <c r="P74" s="4"/>
    </row>
    <row r="75" spans="2:16" x14ac:dyDescent="0.25">
      <c r="B75" s="24" t="str">
        <f>B74</f>
        <v>T1</v>
      </c>
      <c r="C75" s="21">
        <f>(C74+459.67)/1.8-273.15</f>
        <v>76.877082895743399</v>
      </c>
      <c r="D75" t="s">
        <v>82</v>
      </c>
      <c r="P75" s="4"/>
    </row>
    <row r="76" spans="2:16" x14ac:dyDescent="0.25">
      <c r="B76" s="3"/>
      <c r="P76" s="4"/>
    </row>
    <row r="77" spans="2:16" x14ac:dyDescent="0.25">
      <c r="B77" s="3" t="s">
        <v>75</v>
      </c>
      <c r="C77" s="11">
        <f>(Gam*Z*Rg*T_1*gc)^0.5</f>
        <v>1230.5040450387123</v>
      </c>
      <c r="D77" t="s">
        <v>31</v>
      </c>
      <c r="P77" s="4"/>
    </row>
    <row r="78" spans="2:16" x14ac:dyDescent="0.25">
      <c r="B78" s="24" t="str">
        <f>B77</f>
        <v>c1</v>
      </c>
      <c r="C78" s="21">
        <f>c_1/3.28</f>
        <v>375.15367226790011</v>
      </c>
      <c r="D78" t="s">
        <v>85</v>
      </c>
      <c r="P78" s="4"/>
    </row>
    <row r="79" spans="2:16" x14ac:dyDescent="0.25">
      <c r="B79" s="3" t="s">
        <v>42</v>
      </c>
      <c r="C79" s="11">
        <f>M_1*c_1</f>
        <v>596.59920121637253</v>
      </c>
      <c r="D79" t="s">
        <v>24</v>
      </c>
      <c r="P79" s="4"/>
    </row>
    <row r="80" spans="2:16" x14ac:dyDescent="0.25">
      <c r="B80" s="24" t="str">
        <f>B79</f>
        <v>V1</v>
      </c>
      <c r="C80" s="21">
        <f>V_1/3.28</f>
        <v>181.89000037084529</v>
      </c>
      <c r="D80" t="s">
        <v>84</v>
      </c>
      <c r="P80" s="4"/>
    </row>
    <row r="81" spans="2:16" x14ac:dyDescent="0.25">
      <c r="B81" s="3" t="s">
        <v>41</v>
      </c>
      <c r="C81" s="10">
        <f>mdot/A/V_1</f>
        <v>0.50706332356341721</v>
      </c>
      <c r="D81" t="s">
        <v>25</v>
      </c>
      <c r="P81" s="4"/>
    </row>
    <row r="82" spans="2:16" x14ac:dyDescent="0.25">
      <c r="B82" s="24" t="str">
        <f>B81</f>
        <v>rho1</v>
      </c>
      <c r="C82" s="21">
        <f>rho_1*16.01846</f>
        <v>8.1223735659676564</v>
      </c>
      <c r="D82" t="s">
        <v>83</v>
      </c>
      <c r="P82" s="4"/>
    </row>
    <row r="83" spans="2:16" x14ac:dyDescent="0.25">
      <c r="B83" s="3" t="s">
        <v>39</v>
      </c>
      <c r="C83" s="10">
        <f>Z*rho_1*Rg*T_1/144</f>
        <v>118.36756260964654</v>
      </c>
      <c r="D83" t="s">
        <v>1</v>
      </c>
      <c r="P83" s="4"/>
    </row>
    <row r="84" spans="2:16" x14ac:dyDescent="0.25">
      <c r="B84" s="24" t="str">
        <f>B83</f>
        <v>P1</v>
      </c>
      <c r="C84" s="21">
        <f>P_1*6.89476</f>
        <v>816.1159359784865</v>
      </c>
      <c r="D84" t="s">
        <v>67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98</v>
      </c>
      <c r="C88" s="11">
        <f>P_1*(1+(Gam-1)/2*M_1^2)^(Gam/(Gam-1))</f>
        <v>139.0166234389296</v>
      </c>
      <c r="D88" t="s">
        <v>1</v>
      </c>
      <c r="P88" s="4"/>
    </row>
    <row r="89" spans="2:16" x14ac:dyDescent="0.25">
      <c r="B89" s="24" t="str">
        <f>B88</f>
        <v>Po1</v>
      </c>
      <c r="C89" s="21">
        <f>Po_2*6.89476</f>
        <v>699.63496933376007</v>
      </c>
      <c r="D89" t="s">
        <v>67</v>
      </c>
      <c r="P89" s="4"/>
    </row>
    <row r="90" spans="2:16" x14ac:dyDescent="0.25">
      <c r="B90" s="24"/>
      <c r="C90" s="21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 t="s">
        <v>43</v>
      </c>
      <c r="C93" s="10">
        <f>cp*(T_1)</f>
        <v>154.36194355702281</v>
      </c>
      <c r="D93" t="s">
        <v>28</v>
      </c>
      <c r="E93" s="12" t="s">
        <v>86</v>
      </c>
      <c r="P93" s="4"/>
    </row>
    <row r="94" spans="2:16" x14ac:dyDescent="0.25">
      <c r="B94" s="24" t="str">
        <f>B93</f>
        <v>h1</v>
      </c>
      <c r="C94" s="21">
        <f>h_1*2.32442</f>
        <v>358.80198884281498</v>
      </c>
      <c r="D94" t="s">
        <v>68</v>
      </c>
      <c r="E94" s="12"/>
      <c r="P94" s="4"/>
    </row>
    <row r="95" spans="2:16" x14ac:dyDescent="0.25">
      <c r="B95" s="3" t="s">
        <v>44</v>
      </c>
      <c r="C95" s="10">
        <f>h_1+0.5*V_1^2/C10/gc</f>
        <v>161.47008069474268</v>
      </c>
      <c r="D95" t="s">
        <v>28</v>
      </c>
      <c r="P95" s="4"/>
    </row>
    <row r="96" spans="2:16" x14ac:dyDescent="0.25">
      <c r="B96" s="24" t="str">
        <f>B95</f>
        <v>ho1</v>
      </c>
      <c r="C96" s="21">
        <f>ho_1*2.32442</f>
        <v>375.32428496847376</v>
      </c>
      <c r="D96" t="s">
        <v>68</v>
      </c>
      <c r="P96" s="4"/>
    </row>
    <row r="97" spans="2:16" x14ac:dyDescent="0.25">
      <c r="B97" s="3"/>
      <c r="P97" s="4"/>
    </row>
    <row r="98" spans="2:16" ht="15.75" thickBot="1" x14ac:dyDescent="0.3">
      <c r="B98" s="6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8"/>
    </row>
    <row r="100" spans="2:16" ht="15.75" thickBot="1" x14ac:dyDescent="0.3"/>
    <row r="101" spans="2:16" x14ac:dyDescent="0.25">
      <c r="B101" s="13" t="s">
        <v>23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89</v>
      </c>
      <c r="P105" s="4"/>
    </row>
    <row r="106" spans="2:16" x14ac:dyDescent="0.25">
      <c r="B106" s="3" t="s">
        <v>45</v>
      </c>
      <c r="C106" s="10">
        <f>ho_1</f>
        <v>161.47008069474268</v>
      </c>
      <c r="D106" t="s">
        <v>28</v>
      </c>
      <c r="P106" s="4"/>
    </row>
    <row r="107" spans="2:16" x14ac:dyDescent="0.25">
      <c r="B107" s="24" t="str">
        <f>B106</f>
        <v>ho2</v>
      </c>
      <c r="C107" s="21">
        <f>ho_2*2.32442</f>
        <v>375.32428496847376</v>
      </c>
      <c r="D107" t="s">
        <v>68</v>
      </c>
      <c r="P107" s="4"/>
    </row>
    <row r="108" spans="2:16" x14ac:dyDescent="0.25">
      <c r="B108" s="24"/>
      <c r="C108" s="21"/>
      <c r="P108" s="4"/>
    </row>
    <row r="109" spans="2:16" x14ac:dyDescent="0.25">
      <c r="B109" s="3" t="s">
        <v>97</v>
      </c>
      <c r="P109" s="4"/>
    </row>
    <row r="110" spans="2:16" x14ac:dyDescent="0.25">
      <c r="B110" s="3" t="s">
        <v>50</v>
      </c>
      <c r="C110" s="11">
        <f>To_1</f>
        <v>659.67000000000007</v>
      </c>
      <c r="D110" t="s">
        <v>20</v>
      </c>
      <c r="P110" s="4"/>
    </row>
    <row r="111" spans="2:16" x14ac:dyDescent="0.25">
      <c r="B111" s="3" t="s">
        <v>50</v>
      </c>
      <c r="C111" s="11">
        <f>C110-C8</f>
        <v>200.00000000000006</v>
      </c>
      <c r="D111" t="s">
        <v>2</v>
      </c>
      <c r="J111" s="19"/>
      <c r="P111" s="4"/>
    </row>
    <row r="112" spans="2:16" x14ac:dyDescent="0.25">
      <c r="B112" s="24" t="str">
        <f>B111</f>
        <v>To2</v>
      </c>
      <c r="C112" s="21">
        <f>(C111+459.67)/1.8-273.15</f>
        <v>93.333333333333371</v>
      </c>
      <c r="D112" t="s">
        <v>82</v>
      </c>
      <c r="P112" s="4"/>
    </row>
    <row r="113" spans="2:16" x14ac:dyDescent="0.25">
      <c r="B113" s="24"/>
      <c r="C113" s="21"/>
      <c r="P113" s="4"/>
    </row>
    <row r="114" spans="2:16" x14ac:dyDescent="0.25">
      <c r="B114" s="3" t="s">
        <v>49</v>
      </c>
      <c r="C114" s="11">
        <f>mdot/(A*144)*To_2^0.5/gc^0.5/((Gam/Z/Rg)^0.5*(1+(Gam-1)/2)^(-(Gam+1)/2/(Gam-1)))</f>
        <v>101.4734333513799</v>
      </c>
      <c r="D114" t="s">
        <v>1</v>
      </c>
      <c r="P114" s="4"/>
    </row>
    <row r="115" spans="2:16" x14ac:dyDescent="0.25">
      <c r="B115" s="24" t="str">
        <f>B114</f>
        <v>Po2</v>
      </c>
      <c r="C115" s="21">
        <f>Po_2*6.89476</f>
        <v>699.63496933376007</v>
      </c>
      <c r="D115" t="s">
        <v>67</v>
      </c>
      <c r="P115" s="4"/>
    </row>
    <row r="116" spans="2:16" x14ac:dyDescent="0.25">
      <c r="B116" s="24"/>
      <c r="C116" s="21"/>
      <c r="P116" s="4"/>
    </row>
    <row r="117" spans="2:16" x14ac:dyDescent="0.25">
      <c r="B117" s="24"/>
      <c r="C117" s="21"/>
      <c r="P117" s="4"/>
    </row>
    <row r="118" spans="2:16" x14ac:dyDescent="0.25">
      <c r="B118" s="24"/>
      <c r="C118" s="21"/>
      <c r="P118" s="4"/>
    </row>
    <row r="119" spans="2:16" x14ac:dyDescent="0.25">
      <c r="B119" s="3"/>
      <c r="P119" s="4"/>
    </row>
    <row r="120" spans="2:16" x14ac:dyDescent="0.25">
      <c r="B120" s="3" t="s">
        <v>46</v>
      </c>
      <c r="P120" s="4"/>
    </row>
    <row r="121" spans="2:16" x14ac:dyDescent="0.25">
      <c r="B121" s="3"/>
      <c r="P121" s="4"/>
    </row>
    <row r="122" spans="2:16" x14ac:dyDescent="0.25">
      <c r="B122" s="3" t="s">
        <v>47</v>
      </c>
      <c r="C122" s="11">
        <f>P_1*M_1/M_2*((2+M_1^2*(Gam-1))/(2+M_2^2*(Gam-1)))^0.5</f>
        <v>53.606566776666497</v>
      </c>
      <c r="D122" t="s">
        <v>1</v>
      </c>
      <c r="P122" s="4"/>
    </row>
    <row r="123" spans="2:16" x14ac:dyDescent="0.25">
      <c r="B123" s="24" t="str">
        <f>B122</f>
        <v>P2</v>
      </c>
      <c r="C123" s="21">
        <f>P_2*6.89476</f>
        <v>369.6044123490891</v>
      </c>
      <c r="D123" t="s">
        <v>67</v>
      </c>
      <c r="P123" s="4"/>
    </row>
    <row r="124" spans="2:16" x14ac:dyDescent="0.25">
      <c r="B124" s="3" t="s">
        <v>48</v>
      </c>
      <c r="C124" s="11">
        <f>T_1*((2+M_1^2*(Gam-1))/(2+M_2^2*(Gam-1)))</f>
        <v>549.72500000000014</v>
      </c>
      <c r="D124" t="s">
        <v>20</v>
      </c>
      <c r="P124" s="4"/>
    </row>
    <row r="125" spans="2:16" x14ac:dyDescent="0.25">
      <c r="B125" s="3" t="s">
        <v>48</v>
      </c>
      <c r="C125" s="11">
        <f>C124-C8</f>
        <v>90.055000000000121</v>
      </c>
      <c r="D125" t="s">
        <v>2</v>
      </c>
      <c r="P125" s="4"/>
    </row>
    <row r="126" spans="2:16" x14ac:dyDescent="0.25">
      <c r="B126" s="24" t="str">
        <f>B125</f>
        <v>T2</v>
      </c>
      <c r="C126" s="21">
        <f>(C125+459.67)/1.8-273.15</f>
        <v>32.252777777777851</v>
      </c>
      <c r="D126" t="s">
        <v>82</v>
      </c>
      <c r="P126" s="4"/>
    </row>
    <row r="127" spans="2:16" x14ac:dyDescent="0.25">
      <c r="B127" s="24"/>
      <c r="C127" s="21"/>
      <c r="P127" s="4"/>
    </row>
    <row r="128" spans="2:16" x14ac:dyDescent="0.25">
      <c r="B128" s="3" t="s">
        <v>51</v>
      </c>
      <c r="C128" s="9">
        <f>P_2*144/Z/Rg/T_2</f>
        <v>0.26319410238325863</v>
      </c>
      <c r="D128" t="s">
        <v>25</v>
      </c>
      <c r="P128" s="4"/>
    </row>
    <row r="129" spans="2:16" x14ac:dyDescent="0.25">
      <c r="B129" s="24" t="str">
        <f>B128</f>
        <v>rho2</v>
      </c>
      <c r="C129" s="21">
        <f>rho_2*16.01846</f>
        <v>4.2159642012621337</v>
      </c>
      <c r="D129" t="s">
        <v>83</v>
      </c>
      <c r="P129" s="4"/>
    </row>
    <row r="130" spans="2:16" x14ac:dyDescent="0.25">
      <c r="B130" s="3" t="s">
        <v>52</v>
      </c>
      <c r="C130" s="11">
        <f>mdot/rho_2/A</f>
        <v>1149.3934364970639</v>
      </c>
      <c r="D130" t="s">
        <v>24</v>
      </c>
      <c r="P130" s="4"/>
    </row>
    <row r="131" spans="2:16" x14ac:dyDescent="0.25">
      <c r="B131" s="24" t="str">
        <f>B130</f>
        <v>V2</v>
      </c>
      <c r="C131" s="21">
        <f>V_2/3.28</f>
        <v>350.42482820032438</v>
      </c>
      <c r="D131" t="s">
        <v>84</v>
      </c>
      <c r="P131" s="4"/>
    </row>
    <row r="132" spans="2:16" x14ac:dyDescent="0.25">
      <c r="B132" s="3"/>
      <c r="P132" s="4"/>
    </row>
    <row r="133" spans="2:16" x14ac:dyDescent="0.25">
      <c r="B133" s="3" t="s">
        <v>53</v>
      </c>
      <c r="C133" s="17">
        <f>ho_2-0.5*V_2^2/C10/gc</f>
        <v>135.08685524593329</v>
      </c>
      <c r="D133" t="s">
        <v>28</v>
      </c>
      <c r="P133" s="4"/>
    </row>
    <row r="134" spans="2:16" x14ac:dyDescent="0.25">
      <c r="B134" s="24" t="str">
        <f>B133</f>
        <v>h2</v>
      </c>
      <c r="C134" s="21">
        <f>h_2*2.32442</f>
        <v>313.99858807075225</v>
      </c>
      <c r="D134" t="s">
        <v>68</v>
      </c>
      <c r="P134" s="4"/>
    </row>
    <row r="135" spans="2:16" x14ac:dyDescent="0.25">
      <c r="B135" s="3" t="s">
        <v>76</v>
      </c>
      <c r="C135" s="11">
        <f>V_2/M_2</f>
        <v>1149.3934364970639</v>
      </c>
      <c r="D135" t="s">
        <v>31</v>
      </c>
      <c r="P135" s="4"/>
    </row>
    <row r="136" spans="2:16" x14ac:dyDescent="0.25">
      <c r="B136" s="24" t="str">
        <f>B135</f>
        <v>c2</v>
      </c>
      <c r="C136" s="21">
        <f>c_2/3.28</f>
        <v>350.42482820032438</v>
      </c>
      <c r="D136" t="s">
        <v>85</v>
      </c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/>
      <c r="P139" s="4"/>
    </row>
    <row r="140" spans="2:16" x14ac:dyDescent="0.25">
      <c r="B140" s="3"/>
      <c r="P140" s="4"/>
    </row>
    <row r="141" spans="2:16" x14ac:dyDescent="0.25">
      <c r="B141" s="3"/>
      <c r="P141" s="4"/>
    </row>
    <row r="142" spans="2:16" ht="15.75" thickBot="1" x14ac:dyDescent="0.3"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93" r:id="rId4">
          <objectPr defaultSize="0" r:id="rId5">
            <anchor moveWithCells="1" sizeWithCells="1">
              <from>
                <xdr:col>4</xdr:col>
                <xdr:colOff>428625</xdr:colOff>
                <xdr:row>111</xdr:row>
                <xdr:rowOff>133350</xdr:rowOff>
              </from>
              <to>
                <xdr:col>7</xdr:col>
                <xdr:colOff>390525</xdr:colOff>
                <xdr:row>115</xdr:row>
                <xdr:rowOff>57150</xdr:rowOff>
              </to>
            </anchor>
          </objectPr>
        </oleObject>
      </mc:Choice>
      <mc:Fallback>
        <oleObject progId="Equation.3" shapeId="1093" r:id="rId4"/>
      </mc:Fallback>
    </mc:AlternateContent>
    <mc:AlternateContent xmlns:mc="http://schemas.openxmlformats.org/markup-compatibility/2006">
      <mc:Choice Requires="x14">
        <oleObject progId="Equation.3" shapeId="1059" r:id="rId6">
          <objectPr defaultSize="0" r:id="rId7">
            <anchor moveWithCells="1" sizeWithCells="1">
              <from>
                <xdr:col>4</xdr:col>
                <xdr:colOff>590550</xdr:colOff>
                <xdr:row>127</xdr:row>
                <xdr:rowOff>152400</xdr:rowOff>
              </from>
              <to>
                <xdr:col>6</xdr:col>
                <xdr:colOff>457200</xdr:colOff>
                <xdr:row>129</xdr:row>
                <xdr:rowOff>57150</xdr:rowOff>
              </to>
            </anchor>
          </objectPr>
        </oleObject>
      </mc:Choice>
      <mc:Fallback>
        <oleObject progId="Equation.3" shapeId="1059" r:id="rId6"/>
      </mc:Fallback>
    </mc:AlternateContent>
    <mc:AlternateContent xmlns:mc="http://schemas.openxmlformats.org/markup-compatibility/2006">
      <mc:Choice Requires="x14">
        <oleObject progId="Equation.3" shapeId="1058" r:id="rId8">
          <objectPr defaultSize="0" r:id="rId9">
            <anchor moveWithCells="1" sizeWithCells="1">
              <from>
                <xdr:col>4</xdr:col>
                <xdr:colOff>542925</xdr:colOff>
                <xdr:row>122</xdr:row>
                <xdr:rowOff>47625</xdr:rowOff>
              </from>
              <to>
                <xdr:col>8</xdr:col>
                <xdr:colOff>133350</xdr:colOff>
                <xdr:row>126</xdr:row>
                <xdr:rowOff>66675</xdr:rowOff>
              </to>
            </anchor>
          </objectPr>
        </oleObject>
      </mc:Choice>
      <mc:Fallback>
        <oleObject progId="Equation.3" shapeId="1058" r:id="rId8"/>
      </mc:Fallback>
    </mc:AlternateContent>
    <mc:AlternateContent xmlns:mc="http://schemas.openxmlformats.org/markup-compatibility/2006">
      <mc:Choice Requires="x14">
        <oleObject progId="Equation.3" shapeId="1057" r:id="rId10">
          <objectPr defaultSize="0" r:id="rId11">
            <anchor moveWithCells="1" sizeWithCells="1">
              <from>
                <xdr:col>4</xdr:col>
                <xdr:colOff>533400</xdr:colOff>
                <xdr:row>117</xdr:row>
                <xdr:rowOff>76200</xdr:rowOff>
              </from>
              <to>
                <xdr:col>9</xdr:col>
                <xdr:colOff>123825</xdr:colOff>
                <xdr:row>121</xdr:row>
                <xdr:rowOff>152400</xdr:rowOff>
              </to>
            </anchor>
          </objectPr>
        </oleObject>
      </mc:Choice>
      <mc:Fallback>
        <oleObject progId="Equation.3" shapeId="1057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93</xdr:row>
                <xdr:rowOff>114300</xdr:rowOff>
              </from>
              <to>
                <xdr:col>7</xdr:col>
                <xdr:colOff>285750</xdr:colOff>
                <xdr:row>97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60" r:id="rId14">
          <objectPr defaultSize="0" r:id="rId15">
            <anchor moveWithCells="1" sizeWithCells="1">
              <from>
                <xdr:col>4</xdr:col>
                <xdr:colOff>600075</xdr:colOff>
                <xdr:row>130</xdr:row>
                <xdr:rowOff>19050</xdr:rowOff>
              </from>
              <to>
                <xdr:col>6</xdr:col>
                <xdr:colOff>352425</xdr:colOff>
                <xdr:row>131</xdr:row>
                <xdr:rowOff>114300</xdr:rowOff>
              </to>
            </anchor>
          </objectPr>
        </oleObject>
      </mc:Choice>
      <mc:Fallback>
        <oleObject progId="Equation.3" shapeId="1060" r:id="rId14"/>
      </mc:Fallback>
    </mc:AlternateContent>
    <mc:AlternateContent xmlns:mc="http://schemas.openxmlformats.org/markup-compatibility/2006">
      <mc:Choice Requires="x14">
        <oleObject progId="Equation.3" shapeId="1061" r:id="rId16">
          <objectPr defaultSize="0" r:id="rId13">
            <anchor moveWithCells="1" sizeWithCells="1">
              <from>
                <xdr:col>5</xdr:col>
                <xdr:colOff>9525</xdr:colOff>
                <xdr:row>132</xdr:row>
                <xdr:rowOff>57150</xdr:rowOff>
              </from>
              <to>
                <xdr:col>7</xdr:col>
                <xdr:colOff>38100</xdr:colOff>
                <xdr:row>136</xdr:row>
                <xdr:rowOff>9525</xdr:rowOff>
              </to>
            </anchor>
          </objectPr>
        </oleObject>
      </mc:Choice>
      <mc:Fallback>
        <oleObject progId="Equation.3" shapeId="1061" r:id="rId16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304800</xdr:colOff>
                <xdr:row>71</xdr:row>
                <xdr:rowOff>180975</xdr:rowOff>
              </from>
              <to>
                <xdr:col>8</xdr:col>
                <xdr:colOff>390525</xdr:colOff>
                <xdr:row>75</xdr:row>
                <xdr:rowOff>38100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37" r:id="rId19">
          <objectPr defaultSize="0" r:id="rId7">
            <anchor moveWithCells="1" sizeWithCells="1">
              <from>
                <xdr:col>5</xdr:col>
                <xdr:colOff>342900</xdr:colOff>
                <xdr:row>83</xdr:row>
                <xdr:rowOff>142875</xdr:rowOff>
              </from>
              <to>
                <xdr:col>7</xdr:col>
                <xdr:colOff>209550</xdr:colOff>
                <xdr:row>85</xdr:row>
                <xdr:rowOff>47625</xdr:rowOff>
              </to>
            </anchor>
          </objectPr>
        </oleObject>
      </mc:Choice>
      <mc:Fallback>
        <oleObject progId="Equation.3" shapeId="1037" r:id="rId19"/>
      </mc:Fallback>
    </mc:AlternateContent>
    <mc:AlternateContent xmlns:mc="http://schemas.openxmlformats.org/markup-compatibility/2006">
      <mc:Choice Requires="x14">
        <oleObject progId="Equation.3" shapeId="1042" r:id="rId20">
          <objectPr defaultSize="0" r:id="rId15">
            <anchor moveWithCells="1" sizeWithCells="1">
              <from>
                <xdr:col>5</xdr:col>
                <xdr:colOff>333375</xdr:colOff>
                <xdr:row>81</xdr:row>
                <xdr:rowOff>171450</xdr:rowOff>
              </from>
              <to>
                <xdr:col>7</xdr:col>
                <xdr:colOff>85725</xdr:colOff>
                <xdr:row>83</xdr:row>
                <xdr:rowOff>76200</xdr:rowOff>
              </to>
            </anchor>
          </objectPr>
        </oleObject>
      </mc:Choice>
      <mc:Fallback>
        <oleObject progId="Equation.3" shapeId="1042" r:id="rId20"/>
      </mc:Fallback>
    </mc:AlternateContent>
    <mc:AlternateContent xmlns:mc="http://schemas.openxmlformats.org/markup-compatibility/2006">
      <mc:Choice Requires="x14">
        <oleObject progId="Equation.3" shapeId="1090" r:id="rId21">
          <objectPr defaultSize="0" r:id="rId22">
            <anchor moveWithCells="1" sizeWithCells="1">
              <from>
                <xdr:col>5</xdr:col>
                <xdr:colOff>323850</xdr:colOff>
                <xdr:row>86</xdr:row>
                <xdr:rowOff>114300</xdr:rowOff>
              </from>
              <to>
                <xdr:col>9</xdr:col>
                <xdr:colOff>561975</xdr:colOff>
                <xdr:row>91</xdr:row>
                <xdr:rowOff>38100</xdr:rowOff>
              </to>
            </anchor>
          </objectPr>
        </oleObject>
      </mc:Choice>
      <mc:Fallback>
        <oleObject progId="Equation.3" shapeId="1090" r:id="rId21"/>
      </mc:Fallback>
    </mc:AlternateContent>
    <mc:AlternateContent xmlns:mc="http://schemas.openxmlformats.org/markup-compatibility/2006">
      <mc:Choice Requires="x14">
        <oleObject progId="Equation.3" shapeId="1094" r:id="rId23">
          <objectPr defaultSize="0" r:id="rId24">
            <anchor moveWithCells="1" sizeWithCells="1">
              <from>
                <xdr:col>7</xdr:col>
                <xdr:colOff>514350</xdr:colOff>
                <xdr:row>111</xdr:row>
                <xdr:rowOff>142875</xdr:rowOff>
              </from>
              <to>
                <xdr:col>15</xdr:col>
                <xdr:colOff>57150</xdr:colOff>
                <xdr:row>115</xdr:row>
                <xdr:rowOff>123825</xdr:rowOff>
              </to>
            </anchor>
          </objectPr>
        </oleObject>
      </mc:Choice>
      <mc:Fallback>
        <oleObject progId="Equation.3" shapeId="1094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CE5ED-C035-41E4-94E7-893EE31877E9}">
  <dimension ref="B1:W76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sheetData>
    <row r="1" spans="2:23" x14ac:dyDescent="0.25">
      <c r="B1" s="33" t="s">
        <v>99</v>
      </c>
      <c r="C1" s="33" t="s">
        <v>99</v>
      </c>
      <c r="D1" s="33" t="s">
        <v>100</v>
      </c>
      <c r="E1" s="33" t="s">
        <v>101</v>
      </c>
      <c r="F1" s="33" t="s">
        <v>102</v>
      </c>
      <c r="G1" s="33" t="s">
        <v>102</v>
      </c>
      <c r="H1" s="33" t="s">
        <v>103</v>
      </c>
      <c r="I1" s="33" t="s">
        <v>103</v>
      </c>
      <c r="J1" s="33" t="s">
        <v>66</v>
      </c>
      <c r="K1" s="33" t="s">
        <v>66</v>
      </c>
      <c r="L1" s="33" t="s">
        <v>66</v>
      </c>
      <c r="M1" s="33" t="s">
        <v>66</v>
      </c>
      <c r="N1" s="33" t="s">
        <v>104</v>
      </c>
      <c r="O1" s="33" t="s">
        <v>104</v>
      </c>
      <c r="P1" s="33" t="s">
        <v>104</v>
      </c>
      <c r="Q1" s="33" t="s">
        <v>104</v>
      </c>
      <c r="R1" s="33" t="s">
        <v>105</v>
      </c>
      <c r="S1" s="33" t="s">
        <v>105</v>
      </c>
      <c r="T1" s="33" t="s">
        <v>65</v>
      </c>
      <c r="U1" s="33" t="s">
        <v>65</v>
      </c>
      <c r="V1" s="33" t="s">
        <v>106</v>
      </c>
      <c r="W1" s="33" t="s">
        <v>106</v>
      </c>
    </row>
    <row r="2" spans="2:23" x14ac:dyDescent="0.25">
      <c r="B2" s="33" t="s">
        <v>15</v>
      </c>
      <c r="C2" s="33" t="s">
        <v>56</v>
      </c>
      <c r="D2" s="33"/>
      <c r="E2" s="33" t="s">
        <v>107</v>
      </c>
      <c r="F2" s="33" t="s">
        <v>1</v>
      </c>
      <c r="G2" s="33" t="s">
        <v>67</v>
      </c>
      <c r="H2" s="33" t="s">
        <v>1</v>
      </c>
      <c r="I2" s="33" t="s">
        <v>67</v>
      </c>
      <c r="J2" s="33" t="s">
        <v>20</v>
      </c>
      <c r="K2" s="33" t="s">
        <v>108</v>
      </c>
      <c r="L2" s="33" t="s">
        <v>2</v>
      </c>
      <c r="M2" s="33" t="s">
        <v>82</v>
      </c>
      <c r="N2" s="33" t="s">
        <v>20</v>
      </c>
      <c r="O2" s="33" t="s">
        <v>108</v>
      </c>
      <c r="P2" s="33" t="s">
        <v>2</v>
      </c>
      <c r="Q2" s="33" t="s">
        <v>82</v>
      </c>
      <c r="R2" s="33" t="s">
        <v>109</v>
      </c>
      <c r="S2" s="33" t="s">
        <v>83</v>
      </c>
      <c r="T2" s="33" t="s">
        <v>24</v>
      </c>
      <c r="U2" s="33" t="s">
        <v>84</v>
      </c>
      <c r="V2" s="33" t="s">
        <v>24</v>
      </c>
      <c r="W2" s="33" t="s">
        <v>84</v>
      </c>
    </row>
    <row r="3" spans="2:23" x14ac:dyDescent="0.25">
      <c r="B3">
        <v>0</v>
      </c>
      <c r="C3">
        <f>B3/3.28</f>
        <v>0</v>
      </c>
      <c r="D3">
        <f>M_1</f>
        <v>0.48484131654975843</v>
      </c>
      <c r="E3">
        <f>(Gam/Z/Rg)^0.5*D3*(1+D3^2*(Gam-1)/2)^(-(Gam+1)/2/(Gam-1))</f>
        <v>6.8426838772958645E-2</v>
      </c>
      <c r="F3">
        <f>P_1</f>
        <v>118.36756260964654</v>
      </c>
      <c r="G3" s="21">
        <f>F3*6.89476</f>
        <v>816.1159359784865</v>
      </c>
      <c r="H3">
        <f>Po_1</f>
        <v>139.0166234389296</v>
      </c>
      <c r="I3" s="21">
        <f>H3*6.89476</f>
        <v>958.48625462179416</v>
      </c>
      <c r="J3">
        <f>T_1</f>
        <v>630.04874921233807</v>
      </c>
      <c r="K3">
        <f>J3/1.8</f>
        <v>350.02708289574338</v>
      </c>
      <c r="L3">
        <f>J3-'Example 7.1 - Pipe P3'!$C$8</f>
        <v>170.37874921233805</v>
      </c>
      <c r="M3">
        <f>K3-'Example 7.1 - Pipe P3'!$C$9</f>
        <v>76.877082895743399</v>
      </c>
      <c r="N3">
        <f>To_1</f>
        <v>659.67000000000007</v>
      </c>
      <c r="O3">
        <f>N3/1.8</f>
        <v>366.48333333333335</v>
      </c>
      <c r="P3">
        <f>N3-'Example 7.1 - Pipe P3'!$C$8</f>
        <v>200.00000000000006</v>
      </c>
      <c r="Q3">
        <f>O3-'Example 7.1 - Pipe P3'!$C$9</f>
        <v>93.333333333333371</v>
      </c>
      <c r="R3">
        <f>rho_1</f>
        <v>0.50706332356341721</v>
      </c>
      <c r="S3">
        <f>R3*16.01846</f>
        <v>8.1223735659676564</v>
      </c>
      <c r="T3">
        <f>(Gam*F3/R3*gc*144)^0.5</f>
        <v>1230.5040450387123</v>
      </c>
      <c r="U3">
        <f>T3/3.28</f>
        <v>375.15367226790011</v>
      </c>
      <c r="V3">
        <f>D3*T3</f>
        <v>596.59920121637253</v>
      </c>
      <c r="W3">
        <f>V3/3.28</f>
        <v>181.89000037084529</v>
      </c>
    </row>
    <row r="4" spans="2:23" x14ac:dyDescent="0.25">
      <c r="B4">
        <f>(1/Gam*(1/M_1^2-1/D4^2)+(Gam+1)/2/Gam*LN((M_1^2/D4^2)*(1+D4^2*(Gam-1)/2)/(1+M_1^2*(Gam-1)/2)))*D/f</f>
        <v>1.8369691250920741</v>
      </c>
      <c r="C4">
        <f>B4/3.28</f>
        <v>0.56005156252807142</v>
      </c>
      <c r="D4">
        <f>D3+0.01</f>
        <v>0.49484131654975844</v>
      </c>
      <c r="E4">
        <f>(Gam/Z/Rg)^0.5*D4*(1+D4^2*(Gam-1)/2)^(-(Gam+1)/2/(Gam-1))</f>
        <v>6.9447544111206364E-2</v>
      </c>
      <c r="F4">
        <f>H4/(1+(Gam-1)/2*D4^2)^(Gam/(Gam-1))</f>
        <v>115.86716661445374</v>
      </c>
      <c r="G4" s="21">
        <f>F4*6.89476</f>
        <v>798.876305686671</v>
      </c>
      <c r="H4">
        <f>mdot*N4^0.5/A/E4/gc^0.5/144</f>
        <v>136.9734264984867</v>
      </c>
      <c r="I4" s="21">
        <f>H4*6.89476</f>
        <v>944.39890208470615</v>
      </c>
      <c r="J4">
        <f>N4/(1+(Gam-1)/2*D4^2)</f>
        <v>628.87188865833298</v>
      </c>
      <c r="K4">
        <f>J4/1.8</f>
        <v>349.37327147685164</v>
      </c>
      <c r="L4">
        <f>J4-'Example 7.1 - Pipe P3'!$C$8</f>
        <v>169.20188865833296</v>
      </c>
      <c r="M4">
        <f>K4-'Example 7.1 - Pipe P3'!$C$9</f>
        <v>76.223271476851664</v>
      </c>
      <c r="N4">
        <f>N3</f>
        <v>659.67000000000007</v>
      </c>
      <c r="O4">
        <f>O3</f>
        <v>366.48333333333335</v>
      </c>
      <c r="P4">
        <f>N4-'Example 7.1 - Pipe P3'!$C$8</f>
        <v>200.00000000000006</v>
      </c>
      <c r="Q4">
        <f>O4-'Example 7.1 - Pipe P3'!$C$9</f>
        <v>93.333333333333371</v>
      </c>
      <c r="R4">
        <f>F4/J4/Rg/Z*144</f>
        <v>0.49728098484710603</v>
      </c>
      <c r="S4">
        <f>R4*16.01846</f>
        <v>7.9656755645339743</v>
      </c>
      <c r="T4">
        <f>(Gam*F4/R4*gc*144)^0.5</f>
        <v>1229.3542859579729</v>
      </c>
      <c r="U4">
        <f>T4/3.28</f>
        <v>374.80313596279666</v>
      </c>
      <c r="V4">
        <f>D4*T4</f>
        <v>608.33529336953154</v>
      </c>
      <c r="W4">
        <f>V4/3.28</f>
        <v>185.46807724680841</v>
      </c>
    </row>
    <row r="5" spans="2:23" x14ac:dyDescent="0.25">
      <c r="B5">
        <f>(1/Gam*(1/M_1^2-1/D5^2)+(Gam+1)/2/Gam*LN((M_1^2/D5^2)*(1+D5^2*(Gam-1)/2)/(1+M_1^2*(Gam-1)/2)))*D/f</f>
        <v>3.5401342466290688</v>
      </c>
      <c r="C5">
        <f>B5/3.28</f>
        <v>1.0793092215332527</v>
      </c>
      <c r="D5">
        <f>D4+0.01</f>
        <v>0.50484131654975839</v>
      </c>
      <c r="E5">
        <f>(Gam/Z/Rg)^0.5*D5*(1+D5^2*(Gam-1)/2)^(-(Gam+1)/2/(Gam-1))</f>
        <v>7.0447383930408503E-2</v>
      </c>
      <c r="F5">
        <f>H5/(1+(Gam-1)/2*D5^2)^(Gam/(Gam-1))</f>
        <v>113.46396524095255</v>
      </c>
      <c r="G5" s="21">
        <f>F5*6.89476</f>
        <v>782.30680898470996</v>
      </c>
      <c r="H5">
        <f>mdot*N5^0.5/A/E5/gc^0.5/144</f>
        <v>135.02940135028487</v>
      </c>
      <c r="I5" s="21">
        <f>H5*6.89476</f>
        <v>930.99531525389011</v>
      </c>
      <c r="J5">
        <f>N5/(1+(Gam-1)/2*D5^2)</f>
        <v>627.67552617355068</v>
      </c>
      <c r="K5">
        <f>J5/1.8</f>
        <v>348.70862565197257</v>
      </c>
      <c r="L5">
        <f>J5-'Example 7.1 - Pipe P3'!$C$8</f>
        <v>168.00552617355066</v>
      </c>
      <c r="M5">
        <f>K5-'Example 7.1 - Pipe P3'!$C$9</f>
        <v>75.558625651972591</v>
      </c>
      <c r="N5">
        <f>N4</f>
        <v>659.67000000000007</v>
      </c>
      <c r="O5">
        <f>O4</f>
        <v>366.48333333333335</v>
      </c>
      <c r="P5">
        <f>N5-'Example 7.1 - Pipe P3'!$C$8</f>
        <v>200.00000000000006</v>
      </c>
      <c r="Q5">
        <f>O5-'Example 7.1 - Pipe P3'!$C$9</f>
        <v>93.333333333333371</v>
      </c>
      <c r="R5">
        <f>F5/J5/Rg/Z*144</f>
        <v>0.48789504682222856</v>
      </c>
      <c r="S5">
        <f>R5*16.01846</f>
        <v>7.8153272917199956</v>
      </c>
      <c r="T5">
        <f>(Gam*F5/R5*gc*144)^0.5</f>
        <v>1228.1843708057661</v>
      </c>
      <c r="U5">
        <f>T5/3.28</f>
        <v>374.44645451395309</v>
      </c>
      <c r="V5">
        <f>D5*T5</f>
        <v>620.03821472341963</v>
      </c>
      <c r="W5">
        <f>V5/3.28</f>
        <v>189.0360410742133</v>
      </c>
    </row>
    <row r="6" spans="2:23" x14ac:dyDescent="0.25">
      <c r="B6">
        <f>(1/Gam*(1/M_1^2-1/D6^2)+(Gam+1)/2/Gam*LN((M_1^2/D6^2)*(1+D6^2*(Gam-1)/2)/(1+M_1^2*(Gam-1)/2)))*D/f</f>
        <v>5.1203833343222653</v>
      </c>
      <c r="C6">
        <f>B6/3.28</f>
        <v>1.5610924799763004</v>
      </c>
      <c r="D6">
        <f>D5+0.01</f>
        <v>0.5148413165497584</v>
      </c>
      <c r="E6">
        <f>(Gam/Z/Rg)^0.5*D6*(1+D6^2*(Gam-1)/2)^(-(Gam+1)/2/(Gam-1))</f>
        <v>7.1426214778732039E-2</v>
      </c>
      <c r="F6">
        <f>H6/(1+(Gam-1)/2*D6^2)^(Gam/(Gam-1))</f>
        <v>111.15231164841836</v>
      </c>
      <c r="G6" s="21">
        <f>F6*6.89476</f>
        <v>766.36851226104898</v>
      </c>
      <c r="H6">
        <f>mdot*N6^0.5/A/E6/gc^0.5/144</f>
        <v>133.17894708945408</v>
      </c>
      <c r="I6" s="21">
        <f>H6*6.89476</f>
        <v>918.23687723448438</v>
      </c>
      <c r="J6">
        <f>N6/(1+(Gam-1)/2*D6^2)</f>
        <v>626.45990917954828</v>
      </c>
      <c r="K6">
        <f>J6/1.8</f>
        <v>348.0332828775268</v>
      </c>
      <c r="L6">
        <f>J6-'Example 7.1 - Pipe P3'!$C$8</f>
        <v>166.78990917954826</v>
      </c>
      <c r="M6">
        <f>K6-'Example 7.1 - Pipe P3'!$C$9</f>
        <v>74.883282877526824</v>
      </c>
      <c r="N6">
        <f>N5</f>
        <v>659.67000000000007</v>
      </c>
      <c r="O6">
        <f>O5</f>
        <v>366.48333333333335</v>
      </c>
      <c r="P6">
        <f>N6-'Example 7.1 - Pipe P3'!$C$8</f>
        <v>200.00000000000006</v>
      </c>
      <c r="Q6">
        <f>O6-'Example 7.1 - Pipe P3'!$C$9</f>
        <v>93.333333333333371</v>
      </c>
      <c r="R6">
        <f>F6/J6/Rg/Z*144</f>
        <v>0.47888238629092328</v>
      </c>
      <c r="S6">
        <f>R6*16.01846</f>
        <v>7.6709583495057032</v>
      </c>
      <c r="T6">
        <f>(Gam*F6/R6*gc*144)^0.5</f>
        <v>1226.9944842287766</v>
      </c>
      <c r="U6">
        <f>T6/3.28</f>
        <v>374.08368421609043</v>
      </c>
      <c r="V6">
        <f>D6*T6</f>
        <v>631.70745565963512</v>
      </c>
      <c r="W6">
        <f>V6/3.28</f>
        <v>192.5937364815961</v>
      </c>
    </row>
    <row r="7" spans="2:23" x14ac:dyDescent="0.25">
      <c r="B7">
        <f>(1/Gam*(1/M_1^2-1/D7^2)+(Gam+1)/2/Gam*LN((M_1^2/D7^2)*(1+D7^2*(Gam-1)/2)/(1+M_1^2*(Gam-1)/2)))*D/f</f>
        <v>6.5875557174297885</v>
      </c>
      <c r="C7">
        <f>B7/3.28</f>
        <v>2.0084011333627405</v>
      </c>
      <c r="D7">
        <f>D6+0.01</f>
        <v>0.52484131654975841</v>
      </c>
      <c r="E7">
        <f>(Gam/Z/Rg)^0.5*D7*(1+D7^2*(Gam-1)/2)^(-(Gam+1)/2/(Gam-1))</f>
        <v>7.238390597727816E-2</v>
      </c>
      <c r="F7">
        <f>H7/(1+(Gam-1)/2*D7^2)^(Gam/(Gam-1))</f>
        <v>108.92698955464049</v>
      </c>
      <c r="G7" s="21">
        <f>F7*6.89476</f>
        <v>751.02545050175297</v>
      </c>
      <c r="H7">
        <f>mdot*N7^0.5/A/E7/gc^0.5/144</f>
        <v>131.41689371947919</v>
      </c>
      <c r="I7" s="21">
        <f>H7*6.89476</f>
        <v>906.08794214131626</v>
      </c>
      <c r="J7">
        <f>N7/(1+(Gam-1)/2*D7^2)</f>
        <v>625.22528758349142</v>
      </c>
      <c r="K7">
        <f>J7/1.8</f>
        <v>347.34738199082858</v>
      </c>
      <c r="L7">
        <f>J7-'Example 7.1 - Pipe P3'!$C$8</f>
        <v>165.55528758349141</v>
      </c>
      <c r="M7">
        <f>K7-'Example 7.1 - Pipe P3'!$C$9</f>
        <v>74.197381990828603</v>
      </c>
      <c r="N7">
        <f>N6</f>
        <v>659.67000000000007</v>
      </c>
      <c r="O7">
        <f>O6</f>
        <v>366.48333333333335</v>
      </c>
      <c r="P7">
        <f>N7-'Example 7.1 - Pipe P3'!$C$8</f>
        <v>200.00000000000006</v>
      </c>
      <c r="Q7">
        <f>O7-'Example 7.1 - Pipe P3'!$C$9</f>
        <v>93.333333333333371</v>
      </c>
      <c r="R7">
        <f>F7/J7/Rg/Z*144</f>
        <v>0.47022164198797017</v>
      </c>
      <c r="S7">
        <f>R7*16.01846</f>
        <v>7.5322265633186216</v>
      </c>
      <c r="T7">
        <f>(Gam*F7/R7*gc*144)^0.5</f>
        <v>1225.784813045012</v>
      </c>
      <c r="U7">
        <f>T7/3.28</f>
        <v>373.71488202591831</v>
      </c>
      <c r="V7">
        <f>D7*T7</f>
        <v>643.34251508524358</v>
      </c>
      <c r="W7">
        <f>V7/3.28</f>
        <v>196.14101069672063</v>
      </c>
    </row>
    <row r="8" spans="2:23" x14ac:dyDescent="0.25">
      <c r="B8">
        <f>(1/Gam*(1/M_1^2-1/D8^2)+(Gam+1)/2/Gam*LN((M_1^2/D8^2)*(1+D8^2*(Gam-1)/2)/(1+M_1^2*(Gam-1)/2)))*D/f</f>
        <v>7.9505597821007621</v>
      </c>
      <c r="C8">
        <f>B8/3.28</f>
        <v>2.4239511530795008</v>
      </c>
      <c r="D8">
        <f>D7+0.01</f>
        <v>0.53484131654975842</v>
      </c>
      <c r="E8">
        <f>(Gam/Z/Rg)^0.5*D8*(1+D8^2*(Gam-1)/2)^(-(Gam+1)/2/(Gam-1))</f>
        <v>7.332033954663679E-2</v>
      </c>
      <c r="F8">
        <f>H8/(1+(Gam-1)/2*D8^2)^(Gam/(Gam-1))</f>
        <v>106.78317297829203</v>
      </c>
      <c r="G8" s="21">
        <f>F8*6.89476</f>
        <v>736.24434972380868</v>
      </c>
      <c r="H8">
        <f>mdot*N8^0.5/A/E8/gc^0.5/144</f>
        <v>129.73846190068656</v>
      </c>
      <c r="I8" s="21">
        <f>H8*6.89476</f>
        <v>894.51555757437768</v>
      </c>
      <c r="J8">
        <f>N8/(1+(Gam-1)/2*D8^2)</f>
        <v>623.9719136596259</v>
      </c>
      <c r="K8">
        <f>J8/1.8</f>
        <v>346.65106314423662</v>
      </c>
      <c r="L8">
        <f>J8-'Example 7.1 - Pipe P3'!$C$8</f>
        <v>164.30191365962588</v>
      </c>
      <c r="M8">
        <f>K8-'Example 7.1 - Pipe P3'!$C$9</f>
        <v>73.501063144236639</v>
      </c>
      <c r="N8">
        <f>N7</f>
        <v>659.67000000000007</v>
      </c>
      <c r="O8">
        <f>O7</f>
        <v>366.48333333333335</v>
      </c>
      <c r="P8">
        <f>N8-'Example 7.1 - Pipe P3'!$C$8</f>
        <v>200.00000000000006</v>
      </c>
      <c r="Q8">
        <f>O8-'Example 7.1 - Pipe P3'!$C$9</f>
        <v>93.333333333333371</v>
      </c>
      <c r="R8">
        <f>F8/J8/Rg/Z*144</f>
        <v>0.46189304987144181</v>
      </c>
      <c r="S8">
        <f>R8*16.01846</f>
        <v>7.3988153436436965</v>
      </c>
      <c r="T8">
        <f>(Gam*F8/R8*gc*144)^0.5</f>
        <v>1224.5555461683655</v>
      </c>
      <c r="U8">
        <f>T8/3.28</f>
        <v>373.34010553913583</v>
      </c>
      <c r="V8">
        <f>D8*T8</f>
        <v>654.9429005009971</v>
      </c>
      <c r="W8">
        <f>V8/3.28</f>
        <v>199.67771356737717</v>
      </c>
    </row>
    <row r="9" spans="2:23" x14ac:dyDescent="0.25">
      <c r="B9">
        <f>(1/Gam*(1/M_1^2-1/D9^2)+(Gam+1)/2/Gam*LN((M_1^2/D9^2)*(1+D9^2*(Gam-1)/2)/(1+M_1^2*(Gam-1)/2)))*D/f</f>
        <v>9.2174756020224375</v>
      </c>
      <c r="C9">
        <f>B9/3.28</f>
        <v>2.8102059762263529</v>
      </c>
      <c r="D9">
        <f>D8+0.01</f>
        <v>0.54484131654975843</v>
      </c>
      <c r="E9">
        <f>(Gam/Z/Rg)^0.5*D9*(1+D9^2*(Gam-1)/2)^(-(Gam+1)/2/(Gam-1))</f>
        <v>7.4235410121660961E-2</v>
      </c>
      <c r="F9">
        <f>H9/(1+(Gam-1)/2*D9^2)^(Gam/(Gam-1))</f>
        <v>104.71639041460777</v>
      </c>
      <c r="G9" s="21">
        <f>F9*6.89476</f>
        <v>721.99437997502105</v>
      </c>
      <c r="H9">
        <f>mdot*N9^0.5/A/E9/gc^0.5/144</f>
        <v>128.13922713200071</v>
      </c>
      <c r="I9" s="21">
        <f>H9*6.89476</f>
        <v>883.48921766063324</v>
      </c>
      <c r="J9">
        <f>N9/(1+(Gam-1)/2*D9^2)</f>
        <v>622.7000419307933</v>
      </c>
      <c r="K9">
        <f>J9/1.8</f>
        <v>345.94446773932958</v>
      </c>
      <c r="L9">
        <f>J9-'Example 7.1 - Pipe P3'!$C$8</f>
        <v>163.03004193079329</v>
      </c>
      <c r="M9">
        <f>K9-'Example 7.1 - Pipe P3'!$C$9</f>
        <v>72.794467739329605</v>
      </c>
      <c r="N9">
        <f>N8</f>
        <v>659.67000000000007</v>
      </c>
      <c r="O9">
        <f>O8</f>
        <v>366.48333333333335</v>
      </c>
      <c r="P9">
        <f>N9-'Example 7.1 - Pipe P3'!$C$8</f>
        <v>200.00000000000006</v>
      </c>
      <c r="Q9">
        <f>O9-'Example 7.1 - Pipe P3'!$C$9</f>
        <v>93.333333333333371</v>
      </c>
      <c r="R9">
        <f>F9/J9/Rg/Z*144</f>
        <v>0.45387829655181938</v>
      </c>
      <c r="S9">
        <f>R9*16.01846</f>
        <v>7.2704313381834575</v>
      </c>
      <c r="T9">
        <f>(Gam*F9/R9*gc*144)^0.5</f>
        <v>1223.3068745330058</v>
      </c>
      <c r="U9">
        <f>T9/3.28</f>
        <v>372.95941296737988</v>
      </c>
      <c r="V9">
        <f>D9*T9</f>
        <v>666.50812806493309</v>
      </c>
      <c r="W9">
        <f>V9/3.28</f>
        <v>203.20369758077229</v>
      </c>
    </row>
    <row r="10" spans="2:23" x14ac:dyDescent="0.25">
      <c r="B10">
        <f>(1/Gam*(1/M_1^2-1/D10^2)+(Gam+1)/2/Gam*LN((M_1^2/D10^2)*(1+D10^2*(Gam-1)/2)/(1+M_1^2*(Gam-1)/2)))*D/f</f>
        <v>10.395644662600377</v>
      </c>
      <c r="C10">
        <f>B10/3.28</f>
        <v>3.1694038605488957</v>
      </c>
      <c r="D10">
        <f>D9+0.01</f>
        <v>0.55484131654975843</v>
      </c>
      <c r="E10">
        <f>(Gam/Z/Rg)^0.5*D10*(1+D10^2*(Gam-1)/2)^(-(Gam+1)/2/(Gam-1))</f>
        <v>7.5129024854779569E-2</v>
      </c>
      <c r="F10">
        <f>H10/(1+(Gam-1)/2*D10^2)^(Gam/(Gam-1))</f>
        <v>102.72249288505894</v>
      </c>
      <c r="G10" s="21">
        <f>F10*6.89476</f>
        <v>708.24693504418894</v>
      </c>
      <c r="H10">
        <f>mdot*N10^0.5/A/E10/gc^0.5/144</f>
        <v>126.61508780666109</v>
      </c>
      <c r="I10" s="21">
        <f>H10*6.89476</f>
        <v>872.98064280585459</v>
      </c>
      <c r="J10">
        <f>N10/(1+(Gam-1)/2*D10^2)</f>
        <v>621.40992905008056</v>
      </c>
      <c r="K10">
        <f>J10/1.8</f>
        <v>345.22773836115584</v>
      </c>
      <c r="L10">
        <f>J10-'Example 7.1 - Pipe P3'!$C$8</f>
        <v>161.73992905008055</v>
      </c>
      <c r="M10">
        <f>K10-'Example 7.1 - Pipe P3'!$C$9</f>
        <v>72.077738361155866</v>
      </c>
      <c r="N10">
        <f>N9</f>
        <v>659.67000000000007</v>
      </c>
      <c r="O10">
        <f>O9</f>
        <v>366.48333333333335</v>
      </c>
      <c r="P10">
        <f>N10-'Example 7.1 - Pipe P3'!$C$8</f>
        <v>200.00000000000006</v>
      </c>
      <c r="Q10">
        <f>O10-'Example 7.1 - Pipe P3'!$C$9</f>
        <v>93.333333333333371</v>
      </c>
      <c r="R10">
        <f>F10/J10/Rg/Z*144</f>
        <v>0.44616038857118723</v>
      </c>
      <c r="S10">
        <f>R10*16.01846</f>
        <v>7.1468023379120202</v>
      </c>
      <c r="T10">
        <f>(Gam*F10/R10*gc*144)^0.5</f>
        <v>1222.0389910176302</v>
      </c>
      <c r="U10">
        <f>T10/3.28</f>
        <v>372.57286311513121</v>
      </c>
      <c r="V10">
        <f>D10*T10</f>
        <v>678.03772265136035</v>
      </c>
      <c r="W10">
        <f>V10/3.28</f>
        <v>206.71881788151231</v>
      </c>
    </row>
    <row r="11" spans="2:23" x14ac:dyDescent="0.25">
      <c r="B11">
        <f>(1/Gam*(1/M_1^2-1/D11^2)+(Gam+1)/2/Gam*LN((M_1^2/D11^2)*(1+D11^2*(Gam-1)/2)/(1+M_1^2*(Gam-1)/2)))*D/f</f>
        <v>11.49174849698505</v>
      </c>
      <c r="C11">
        <f>B11/3.28</f>
        <v>3.5035818588369056</v>
      </c>
      <c r="D11">
        <f>D10+0.01</f>
        <v>0.56484131654975844</v>
      </c>
      <c r="E11">
        <f>(Gam/Z/Rg)^0.5*D11*(1+D11^2*(Gam-1)/2)^(-(Gam+1)/2/(Gam-1))</f>
        <v>7.6001103308181064E-2</v>
      </c>
      <c r="F11">
        <f>H11/(1+(Gam-1)/2*D11^2)^(Gam/(Gam-1))</f>
        <v>100.79762538092889</v>
      </c>
      <c r="G11" s="21">
        <f>F11*6.89476</f>
        <v>694.9754355714133</v>
      </c>
      <c r="H11">
        <f>mdot*N11^0.5/A/E11/gc^0.5/144</f>
        <v>125.16223666180355</v>
      </c>
      <c r="I11" s="21">
        <f>H11*6.89476</f>
        <v>862.96358284633664</v>
      </c>
      <c r="J11">
        <f>N11/(1+(Gam-1)/2*D11^2)</f>
        <v>620.10183368269543</v>
      </c>
      <c r="K11">
        <f>J11/1.8</f>
        <v>344.50101871260858</v>
      </c>
      <c r="L11">
        <f>J11-'Example 7.1 - Pipe P3'!$C$8</f>
        <v>160.43183368269541</v>
      </c>
      <c r="M11">
        <f>K11-'Example 7.1 - Pipe P3'!$C$9</f>
        <v>71.351018712608607</v>
      </c>
      <c r="N11">
        <f>N10</f>
        <v>659.67000000000007</v>
      </c>
      <c r="O11">
        <f>O10</f>
        <v>366.48333333333335</v>
      </c>
      <c r="P11">
        <f>N11-'Example 7.1 - Pipe P3'!$C$8</f>
        <v>200.00000000000006</v>
      </c>
      <c r="Q11">
        <f>O11-'Example 7.1 - Pipe P3'!$C$9</f>
        <v>93.333333333333371</v>
      </c>
      <c r="R11">
        <f>F11/J11/Rg/Z*144</f>
        <v>0.43872353556821669</v>
      </c>
      <c r="S11">
        <f>R11*16.01846</f>
        <v>7.0276754055580568</v>
      </c>
      <c r="T11">
        <f>(Gam*F11/R11*gc*144)^0.5</f>
        <v>1220.7520903696434</v>
      </c>
      <c r="U11">
        <f>T11/3.28</f>
        <v>372.18051535659862</v>
      </c>
      <c r="V11">
        <f>D11*T11</f>
        <v>689.53121790525904</v>
      </c>
      <c r="W11">
        <f>V11/3.28</f>
        <v>210.22293228818876</v>
      </c>
    </row>
    <row r="12" spans="2:23" x14ac:dyDescent="0.25">
      <c r="B12">
        <f>(1/Gam*(1/M_1^2-1/D12^2)+(Gam+1)/2/Gam*LN((M_1^2/D12^2)*(1+D12^2*(Gam-1)/2)/(1+M_1^2*(Gam-1)/2)))*D/f</f>
        <v>12.511877769391784</v>
      </c>
      <c r="C12">
        <f>B12/3.28</f>
        <v>3.8145968809121293</v>
      </c>
      <c r="D12">
        <f>D11+0.01</f>
        <v>0.57484131654975845</v>
      </c>
      <c r="E12">
        <f>(Gam/Z/Rg)^0.5*D12*(1+D12^2*(Gam-1)/2)^(-(Gam+1)/2/(Gam-1))</f>
        <v>7.6851577335211696E-2</v>
      </c>
      <c r="F12">
        <f>H12/(1+(Gam-1)/2*D12^2)^(Gam/(Gam-1))</f>
        <v>98.93820128751122</v>
      </c>
      <c r="G12" s="21">
        <f>F12*6.89476</f>
        <v>682.15515270908088</v>
      </c>
      <c r="H12">
        <f>mdot*N12^0.5/A/E12/gc^0.5/144</f>
        <v>123.77713520862682</v>
      </c>
      <c r="I12" s="21">
        <f>H12*6.89476</f>
        <v>853.41364075103183</v>
      </c>
      <c r="J12">
        <f>N12/(1+(Gam-1)/2*D12^2)</f>
        <v>618.77601638816043</v>
      </c>
      <c r="K12">
        <f>J12/1.8</f>
        <v>343.764453548978</v>
      </c>
      <c r="L12">
        <f>J12-'Example 7.1 - Pipe P3'!$C$8</f>
        <v>159.10601638816041</v>
      </c>
      <c r="M12">
        <f>K12-'Example 7.1 - Pipe P3'!$C$9</f>
        <v>70.61445354897802</v>
      </c>
      <c r="N12">
        <f>N11</f>
        <v>659.67000000000007</v>
      </c>
      <c r="O12">
        <f>O11</f>
        <v>366.48333333333335</v>
      </c>
      <c r="P12">
        <f>N12-'Example 7.1 - Pipe P3'!$C$8</f>
        <v>200.00000000000006</v>
      </c>
      <c r="Q12">
        <f>O12-'Example 7.1 - Pipe P3'!$C$9</f>
        <v>93.333333333333371</v>
      </c>
      <c r="R12">
        <f>F12/J12/Rg/Z*144</f>
        <v>0.43155304563803371</v>
      </c>
      <c r="S12">
        <f>R12*16.01846</f>
        <v>6.9128151994310176</v>
      </c>
      <c r="T12">
        <f>(Gam*F12/R12*gc*144)^0.5</f>
        <v>1219.4463691293156</v>
      </c>
      <c r="U12">
        <f>T12/3.28</f>
        <v>371.78242961259622</v>
      </c>
      <c r="V12">
        <f>D12*T12</f>
        <v>700.98815629211845</v>
      </c>
      <c r="W12">
        <f>V12/3.28</f>
        <v>213.71590130857271</v>
      </c>
    </row>
    <row r="13" spans="2:23" x14ac:dyDescent="0.25">
      <c r="B13">
        <f>(1/Gam*(1/M_1^2-1/D13^2)+(Gam+1)/2/Gam*LN((M_1^2/D13^2)*(1+D13^2*(Gam-1)/2)/(1+M_1^2*(Gam-1)/2)))*D/f</f>
        <v>13.461593106323017</v>
      </c>
      <c r="C13">
        <f>B13/3.28</f>
        <v>4.1041442397326273</v>
      </c>
      <c r="D13">
        <f>D12+0.01</f>
        <v>0.58484131654975846</v>
      </c>
      <c r="E13">
        <f>(Gam/Z/Rg)^0.5*D13*(1+D13^2*(Gam-1)/2)^(-(Gam+1)/2/(Gam-1))</f>
        <v>7.7680390951342562E-2</v>
      </c>
      <c r="F13">
        <f>H13/(1+(Gam-1)/2*D13^2)^(Gam/(Gam-1))</f>
        <v>97.140879432180071</v>
      </c>
      <c r="G13" s="21">
        <f>F13*6.89476</f>
        <v>669.76304987381786</v>
      </c>
      <c r="H13">
        <f>mdot*N13^0.5/A/E13/gc^0.5/144</f>
        <v>122.45649078639624</v>
      </c>
      <c r="I13" s="21">
        <f>H13*6.89476</f>
        <v>844.30811441441335</v>
      </c>
      <c r="J13">
        <f>N13/(1+(Gam-1)/2*D13^2)</f>
        <v>617.43273950290893</v>
      </c>
      <c r="K13">
        <f>J13/1.8</f>
        <v>343.01818861272716</v>
      </c>
      <c r="L13">
        <f>J13-'Example 7.1 - Pipe P3'!$C$8</f>
        <v>157.76273950290891</v>
      </c>
      <c r="M13">
        <f>K13-'Example 7.1 - Pipe P3'!$C$9</f>
        <v>69.868188612727181</v>
      </c>
      <c r="N13">
        <f>N12</f>
        <v>659.67000000000007</v>
      </c>
      <c r="O13">
        <f>O12</f>
        <v>366.48333333333335</v>
      </c>
      <c r="P13">
        <f>N13-'Example 7.1 - Pipe P3'!$C$8</f>
        <v>200.00000000000006</v>
      </c>
      <c r="Q13">
        <f>O13-'Example 7.1 - Pipe P3'!$C$9</f>
        <v>93.333333333333371</v>
      </c>
      <c r="R13">
        <f>F13/J13/Rg/Z*144</f>
        <v>0.4246352314273476</v>
      </c>
      <c r="S13">
        <f>R13*16.01846</f>
        <v>6.802002469209711</v>
      </c>
      <c r="T13">
        <f>(Gam*F13/R13*gc*144)^0.5</f>
        <v>1218.122025553964</v>
      </c>
      <c r="U13">
        <f>T13/3.28</f>
        <v>371.37866632742805</v>
      </c>
      <c r="V13">
        <f>D13*T13</f>
        <v>712.40808914323884</v>
      </c>
      <c r="W13">
        <f>V13/3.28</f>
        <v>217.19758815342649</v>
      </c>
    </row>
    <row r="14" spans="2:23" x14ac:dyDescent="0.25">
      <c r="B14">
        <f>(1/Gam*(1/M_1^2-1/D14^2)+(Gam+1)/2/Gam*LN((M_1^2/D14^2)*(1+D14^2*(Gam-1)/2)/(1+M_1^2*(Gam-1)/2)))*D/f</f>
        <v>14.345978780674534</v>
      </c>
      <c r="C14">
        <f>B14/3.28</f>
        <v>4.3737740184983336</v>
      </c>
      <c r="D14">
        <f>D13+0.01</f>
        <v>0.59484131654975847</v>
      </c>
      <c r="E14">
        <f>(Gam/Z/Rg)^0.5*D14*(1+D14^2*(Gam-1)/2)^(-(Gam+1)/2/(Gam-1))</f>
        <v>7.8487500195070128E-2</v>
      </c>
      <c r="F14">
        <f>H14/(1+(Gam-1)/2*D14^2)^(Gam/(Gam-1))</f>
        <v>95.40254344756498</v>
      </c>
      <c r="G14" s="21">
        <f>F14*6.89476</f>
        <v>657.77764046053312</v>
      </c>
      <c r="H14">
        <f>mdot*N14^0.5/A/E14/gc^0.5/144</f>
        <v>121.19723593151492</v>
      </c>
      <c r="I14" s="21">
        <f>H14*6.89476</f>
        <v>835.62585441117187</v>
      </c>
      <c r="J14">
        <f>N14/(1+(Gam-1)/2*D14^2)</f>
        <v>616.07226702337346</v>
      </c>
      <c r="K14">
        <f>J14/1.8</f>
        <v>342.2623705685408</v>
      </c>
      <c r="L14">
        <f>J14-'Example 7.1 - Pipe P3'!$C$8</f>
        <v>156.40226702337344</v>
      </c>
      <c r="M14">
        <f>K14-'Example 7.1 - Pipe P3'!$C$9</f>
        <v>69.112370568540825</v>
      </c>
      <c r="N14">
        <f>N13</f>
        <v>659.67000000000007</v>
      </c>
      <c r="O14">
        <f>O13</f>
        <v>366.48333333333335</v>
      </c>
      <c r="P14">
        <f>N14-'Example 7.1 - Pipe P3'!$C$8</f>
        <v>200.00000000000006</v>
      </c>
      <c r="Q14">
        <f>O14-'Example 7.1 - Pipe P3'!$C$9</f>
        <v>93.333333333333371</v>
      </c>
      <c r="R14">
        <f>F14/J14/Rg/Z*144</f>
        <v>0.41795732570153515</v>
      </c>
      <c r="S14">
        <f>R14*16.01846</f>
        <v>6.695032703457013</v>
      </c>
      <c r="T14">
        <f>(Gam*F14/R14*gc*144)^0.5</f>
        <v>1216.7792595422131</v>
      </c>
      <c r="U14">
        <f>T14/3.28</f>
        <v>370.96928644579668</v>
      </c>
      <c r="V14">
        <f>D14*T14</f>
        <v>723.79057669653037</v>
      </c>
      <c r="W14">
        <f>V14/3.28</f>
        <v>220.66785874894219</v>
      </c>
    </row>
    <row r="15" spans="2:23" x14ac:dyDescent="0.25">
      <c r="B15">
        <f>(1/Gam*(1/M_1^2-1/D15^2)+(Gam+1)/2/Gam*LN((M_1^2/D15^2)*(1+D15^2*(Gam-1)/2)/(1+M_1^2*(Gam-1)/2)))*D/f</f>
        <v>15.16969019021257</v>
      </c>
      <c r="C15">
        <f>B15/3.28</f>
        <v>4.6249055457965156</v>
      </c>
      <c r="D15">
        <f>D14+0.01</f>
        <v>0.60484131654975848</v>
      </c>
      <c r="E15">
        <f>(Gam/Z/Rg)^0.5*D15*(1+D15^2*(Gam-1)/2)^(-(Gam+1)/2/(Gam-1))</f>
        <v>7.9272872979122916E-2</v>
      </c>
      <c r="F15">
        <f>H15/(1+(Gam-1)/2*D15^2)^(Gam/(Gam-1))</f>
        <v>93.720283181899433</v>
      </c>
      <c r="G15" s="21">
        <f>F15*6.89476</f>
        <v>646.17885967123289</v>
      </c>
      <c r="H15">
        <f>mdot*N15^0.5/A/E15/gc^0.5/144</f>
        <v>119.99650979373382</v>
      </c>
      <c r="I15" s="21">
        <f>H15*6.89476</f>
        <v>827.34713586544422</v>
      </c>
      <c r="J15">
        <f>N15/(1+(Gam-1)/2*D15^2)</f>
        <v>614.69486448964847</v>
      </c>
      <c r="K15">
        <f>J15/1.8</f>
        <v>341.49714693869356</v>
      </c>
      <c r="L15">
        <f>J15-'Example 7.1 - Pipe P3'!$C$8</f>
        <v>155.02486448964845</v>
      </c>
      <c r="M15">
        <f>K15-'Example 7.1 - Pipe P3'!$C$9</f>
        <v>68.347146938693584</v>
      </c>
      <c r="N15">
        <f>N14</f>
        <v>659.67000000000007</v>
      </c>
      <c r="O15">
        <f>O14</f>
        <v>366.48333333333335</v>
      </c>
      <c r="P15">
        <f>N15-'Example 7.1 - Pipe P3'!$C$8</f>
        <v>200.00000000000006</v>
      </c>
      <c r="Q15">
        <f>O15-'Example 7.1 - Pipe P3'!$C$9</f>
        <v>93.333333333333371</v>
      </c>
      <c r="R15">
        <f>F15/J15/Rg/Z*144</f>
        <v>0.41150740528745566</v>
      </c>
      <c r="S15">
        <f>R15*16.01846</f>
        <v>6.5917149113008975</v>
      </c>
      <c r="T15">
        <f>(Gam*F15/R15*gc*144)^0.5</f>
        <v>1215.4182725583867</v>
      </c>
      <c r="U15">
        <f>T15/3.28</f>
        <v>370.55435138975207</v>
      </c>
      <c r="V15">
        <f>D15*T15</f>
        <v>735.13518813284782</v>
      </c>
      <c r="W15">
        <f>V15/3.28</f>
        <v>224.12658174781947</v>
      </c>
    </row>
    <row r="16" spans="2:23" x14ac:dyDescent="0.25">
      <c r="B16">
        <f>(1/Gam*(1/M_1^2-1/D16^2)+(Gam+1)/2/Gam*LN((M_1^2/D16^2)*(1+D16^2*(Gam-1)/2)/(1+M_1^2*(Gam-1)/2)))*D/f</f>
        <v>15.936995934835736</v>
      </c>
      <c r="C16">
        <f>B16/3.28</f>
        <v>4.8588402240352853</v>
      </c>
      <c r="D16">
        <f>D15+0.01</f>
        <v>0.61484131654975849</v>
      </c>
      <c r="E16">
        <f>(Gam/Z/Rg)^0.5*D16*(1+D16^2*(Gam-1)/2)^(-(Gam+1)/2/(Gam-1))</f>
        <v>8.003648893235546E-2</v>
      </c>
      <c r="F16">
        <f>H16/(1+(Gam-1)/2*D16^2)^(Gam/(Gam-1))</f>
        <v>92.091377923475477</v>
      </c>
      <c r="G16" s="21">
        <f>F16*6.89476</f>
        <v>634.94794885166175</v>
      </c>
      <c r="H16">
        <f>mdot*N16^0.5/A/E16/gc^0.5/144</f>
        <v>118.8516413664323</v>
      </c>
      <c r="I16" s="21">
        <f>H16*6.89476</f>
        <v>819.45354282762275</v>
      </c>
      <c r="J16">
        <f>N16/(1+(Gam-1)/2*D16^2)</f>
        <v>613.3007988698098</v>
      </c>
      <c r="K16">
        <f>J16/1.8</f>
        <v>340.72266603878319</v>
      </c>
      <c r="L16">
        <f>J16-'Example 7.1 - Pipe P3'!$C$8</f>
        <v>153.63079886980978</v>
      </c>
      <c r="M16">
        <f>K16-'Example 7.1 - Pipe P3'!$C$9</f>
        <v>67.572666038783211</v>
      </c>
      <c r="N16">
        <f>N15</f>
        <v>659.67000000000007</v>
      </c>
      <c r="O16">
        <f>O15</f>
        <v>366.48333333333335</v>
      </c>
      <c r="P16">
        <f>N16-'Example 7.1 - Pipe P3'!$C$8</f>
        <v>200.00000000000006</v>
      </c>
      <c r="Q16">
        <f>O16-'Example 7.1 - Pipe P3'!$C$9</f>
        <v>93.333333333333371</v>
      </c>
      <c r="R16">
        <f>F16/J16/Rg/Z*144</f>
        <v>0.40527432243841721</v>
      </c>
      <c r="S16">
        <f>R16*16.01846</f>
        <v>6.4918705230068889</v>
      </c>
      <c r="T16">
        <f>(Gam*F16/R16*gc*144)^0.5</f>
        <v>1214.0392675570699</v>
      </c>
      <c r="U16">
        <f>T16/3.28</f>
        <v>370.13392303569208</v>
      </c>
      <c r="V16">
        <f>D16*T16</f>
        <v>746.44150160789343</v>
      </c>
      <c r="W16">
        <f>V16/3.28</f>
        <v>227.57362853899193</v>
      </c>
    </row>
    <row r="17" spans="2:23" x14ac:dyDescent="0.25">
      <c r="B17">
        <f>(1/Gam*(1/M_1^2-1/D17^2)+(Gam+1)/2/Gam*LN((M_1^2/D17^2)*(1+D17^2*(Gam-1)/2)/(1+M_1^2*(Gam-1)/2)))*D/f</f>
        <v>16.651815181765514</v>
      </c>
      <c r="C17">
        <f>B17/3.28</f>
        <v>5.0767729212699741</v>
      </c>
      <c r="D17">
        <f>D16+0.01</f>
        <v>0.6248413165497585</v>
      </c>
      <c r="E17">
        <f>(Gam/Z/Rg)^0.5*D17*(1+D17^2*(Gam-1)/2)^(-(Gam+1)/2/(Gam-1))</f>
        <v>8.0778339232717614E-2</v>
      </c>
      <c r="F17">
        <f>H17/(1+(Gam-1)/2*D17^2)^(Gam/(Gam-1))</f>
        <v>90.513281235976692</v>
      </c>
      <c r="G17" s="21">
        <f>F17*6.89476</f>
        <v>624.06735093456268</v>
      </c>
      <c r="H17">
        <f>mdot*N17^0.5/A/E17/gc^0.5/144</f>
        <v>117.76013432774201</v>
      </c>
      <c r="I17" s="21">
        <f>H17*6.89476</f>
        <v>811.92786375754247</v>
      </c>
      <c r="J17">
        <f>N17/(1+(Gam-1)/2*D17^2)</f>
        <v>611.89033844497192</v>
      </c>
      <c r="K17">
        <f>J17/1.8</f>
        <v>339.93907691387329</v>
      </c>
      <c r="L17">
        <f>J17-'Example 7.1 - Pipe P3'!$C$8</f>
        <v>152.2203384449719</v>
      </c>
      <c r="M17">
        <f>K17-'Example 7.1 - Pipe P3'!$C$9</f>
        <v>66.789076913873316</v>
      </c>
      <c r="N17">
        <f>N16</f>
        <v>659.67000000000007</v>
      </c>
      <c r="O17">
        <f>O16</f>
        <v>366.48333333333335</v>
      </c>
      <c r="P17">
        <f>N17-'Example 7.1 - Pipe P3'!$C$8</f>
        <v>200.00000000000006</v>
      </c>
      <c r="Q17">
        <f>O17-'Example 7.1 - Pipe P3'!$C$9</f>
        <v>93.333333333333371</v>
      </c>
      <c r="R17">
        <f>F17/J17/Rg/Z*144</f>
        <v>0.39924764278979719</v>
      </c>
      <c r="S17">
        <f>R17*16.01846</f>
        <v>6.3953323961226554</v>
      </c>
      <c r="T17">
        <f>(Gam*F17/R17*gc*144)^0.5</f>
        <v>1212.6424489079029</v>
      </c>
      <c r="U17">
        <f>T17/3.28</f>
        <v>369.70806369143384</v>
      </c>
      <c r="V17">
        <f>D17*T17</f>
        <v>757.70910427973729</v>
      </c>
      <c r="W17">
        <f>V17/3.28</f>
        <v>231.00887325601747</v>
      </c>
    </row>
    <row r="18" spans="2:23" x14ac:dyDescent="0.25">
      <c r="B18">
        <f>(1/Gam*(1/M_1^2-1/D18^2)+(Gam+1)/2/Gam*LN((M_1^2/D18^2)*(1+D18^2*(Gam-1)/2)/(1+M_1^2*(Gam-1)/2)))*D/f</f>
        <v>17.317750910589631</v>
      </c>
      <c r="C18">
        <f>B18/3.28</f>
        <v>5.2798021068870824</v>
      </c>
      <c r="D18">
        <f>D17+0.01</f>
        <v>0.63484131654975851</v>
      </c>
      <c r="E18">
        <f>(Gam/Z/Rg)^0.5*D18*(1+D18^2*(Gam-1)/2)^(-(Gam+1)/2/(Gam-1))</f>
        <v>8.1498426431692458E-2</v>
      </c>
      <c r="F18">
        <f>H18/(1+(Gam-1)/2*D18^2)^(Gam/(Gam-1))</f>
        <v>88.983607227070806</v>
      </c>
      <c r="G18" s="21">
        <f>F18*6.89476</f>
        <v>613.52061576491872</v>
      </c>
      <c r="H18">
        <f>mdot*N18^0.5/A/E18/gc^0.5/144</f>
        <v>116.71965331489648</v>
      </c>
      <c r="I18" s="21">
        <f>H18*6.89476</f>
        <v>804.75399688941559</v>
      </c>
      <c r="J18">
        <f>N18/(1+(Gam-1)/2*D18^2)</f>
        <v>610.46375269515954</v>
      </c>
      <c r="K18">
        <f>J18/1.8</f>
        <v>339.14652927508865</v>
      </c>
      <c r="L18">
        <f>J18-'Example 7.1 - Pipe P3'!$C$8</f>
        <v>150.79375269515953</v>
      </c>
      <c r="M18">
        <f>K18-'Example 7.1 - Pipe P3'!$C$9</f>
        <v>65.996529275088676</v>
      </c>
      <c r="N18">
        <f>N17</f>
        <v>659.67000000000007</v>
      </c>
      <c r="O18">
        <f>O17</f>
        <v>366.48333333333335</v>
      </c>
      <c r="P18">
        <f>N18-'Example 7.1 - Pipe P3'!$C$8</f>
        <v>200.00000000000006</v>
      </c>
      <c r="Q18">
        <f>O18-'Example 7.1 - Pipe P3'!$C$9</f>
        <v>93.333333333333371</v>
      </c>
      <c r="R18">
        <f>F18/J18/Rg/Z*144</f>
        <v>0.3934175891786037</v>
      </c>
      <c r="S18">
        <f>R18*16.01846</f>
        <v>6.3019439155538963</v>
      </c>
      <c r="T18">
        <f>(Gam*F18/R18*gc*144)^0.5</f>
        <v>1211.2280223206408</v>
      </c>
      <c r="U18">
        <f>T18/3.28</f>
        <v>369.2768360733661</v>
      </c>
      <c r="V18">
        <f>D18*T18</f>
        <v>768.93759233199592</v>
      </c>
      <c r="W18">
        <f>V18/3.28</f>
        <v>234.43219278414512</v>
      </c>
    </row>
    <row r="19" spans="2:23" x14ac:dyDescent="0.25">
      <c r="B19">
        <f>(1/Gam*(1/M_1^2-1/D19^2)+(Gam+1)/2/Gam*LN((M_1^2/D19^2)*(1+D19^2*(Gam-1)/2)/(1+M_1^2*(Gam-1)/2)))*D/f</f>
        <v>17.938119547851581</v>
      </c>
      <c r="C19">
        <f>B19/3.28</f>
        <v>5.4689388865401165</v>
      </c>
      <c r="D19">
        <f>D18+0.01</f>
        <v>0.64484131654975851</v>
      </c>
      <c r="E19">
        <f>(Gam/Z/Rg)^0.5*D19*(1+D19^2*(Gam-1)/2)^(-(Gam+1)/2/(Gam-1))</f>
        <v>8.2196764270602379E-2</v>
      </c>
      <c r="F19">
        <f>H19/(1+(Gam-1)/2*D19^2)^(Gam/(Gam-1))</f>
        <v>87.500118094680062</v>
      </c>
      <c r="G19" s="21">
        <f>F19*6.89476</f>
        <v>603.29231423447629</v>
      </c>
      <c r="H19">
        <f>mdot*N19^0.5/A/E19/gc^0.5/144</f>
        <v>115.72801147622386</v>
      </c>
      <c r="I19" s="21">
        <f>H19*6.89476</f>
        <v>797.91686440580918</v>
      </c>
      <c r="J19">
        <f>N19/(1+(Gam-1)/2*D19^2)</f>
        <v>609.0213121860703</v>
      </c>
      <c r="K19">
        <f>J19/1.8</f>
        <v>338.34517343670569</v>
      </c>
      <c r="L19">
        <f>J19-'Example 7.1 - Pipe P3'!$C$8</f>
        <v>149.35131218607029</v>
      </c>
      <c r="M19">
        <f>K19-'Example 7.1 - Pipe P3'!$C$9</f>
        <v>65.195173436705716</v>
      </c>
      <c r="N19">
        <f>N18</f>
        <v>659.67000000000007</v>
      </c>
      <c r="O19">
        <f>O18</f>
        <v>366.48333333333335</v>
      </c>
      <c r="P19">
        <f>N19-'Example 7.1 - Pipe P3'!$C$8</f>
        <v>200.00000000000006</v>
      </c>
      <c r="Q19">
        <f>O19-'Example 7.1 - Pipe P3'!$C$9</f>
        <v>93.333333333333371</v>
      </c>
      <c r="R19">
        <f>F19/J19/Rg/Z*144</f>
        <v>0.38777499069042343</v>
      </c>
      <c r="S19">
        <f>R19*16.01846</f>
        <v>6.2115581773749202</v>
      </c>
      <c r="T19">
        <f>(Gam*F19/R19*gc*144)^0.5</f>
        <v>1209.7961947705342</v>
      </c>
      <c r="U19">
        <f>T19/3.28</f>
        <v>368.84030328369948</v>
      </c>
      <c r="V19">
        <f>D19*T19</f>
        <v>780.12657099271928</v>
      </c>
      <c r="W19">
        <f>V19/3.28</f>
        <v>237.84346676607296</v>
      </c>
    </row>
    <row r="20" spans="2:23" x14ac:dyDescent="0.25">
      <c r="B20">
        <f>(1/Gam*(1/M_1^2-1/D20^2)+(Gam+1)/2/Gam*LN((M_1^2/D20^2)*(1+D20^2*(Gam-1)/2)/(1+M_1^2*(Gam-1)/2)))*D/f</f>
        <v>18.515977431138705</v>
      </c>
      <c r="C20">
        <f>B20/3.28</f>
        <v>5.6451150704691173</v>
      </c>
      <c r="D20">
        <f>D19+0.01</f>
        <v>0.65484131654975852</v>
      </c>
      <c r="E20">
        <f>(Gam/Z/Rg)^0.5*D20*(1+D20^2*(Gam-1)/2)^(-(Gam+1)/2/(Gam-1))</f>
        <v>8.2873377489185829E-2</v>
      </c>
      <c r="F20">
        <f>H20/(1+(Gam-1)/2*D20^2)^(Gam/(Gam-1))</f>
        <v>86.060712814353678</v>
      </c>
      <c r="G20" s="21">
        <f>F20*6.89476</f>
        <v>593.36796028389313</v>
      </c>
      <c r="H20">
        <f>mdot*N20^0.5/A/E20/gc^0.5/144</f>
        <v>114.78315916420836</v>
      </c>
      <c r="I20" s="21">
        <f>H20*6.89476</f>
        <v>791.40233447901721</v>
      </c>
      <c r="J20">
        <f>N20/(1+(Gam-1)/2*D20^2)</f>
        <v>607.56328845680173</v>
      </c>
      <c r="K20">
        <f>J20/1.8</f>
        <v>337.53516025377871</v>
      </c>
      <c r="L20">
        <f>J20-'Example 7.1 - Pipe P3'!$C$8</f>
        <v>147.89328845680171</v>
      </c>
      <c r="M20">
        <f>K20-'Example 7.1 - Pipe P3'!$C$9</f>
        <v>64.385160253778736</v>
      </c>
      <c r="N20">
        <f>N19</f>
        <v>659.67000000000007</v>
      </c>
      <c r="O20">
        <f>O19</f>
        <v>366.48333333333335</v>
      </c>
      <c r="P20">
        <f>N20-'Example 7.1 - Pipe P3'!$C$8</f>
        <v>200.00000000000006</v>
      </c>
      <c r="Q20">
        <f>O20-'Example 7.1 - Pipe P3'!$C$9</f>
        <v>93.333333333333371</v>
      </c>
      <c r="R20">
        <f>F20/J20/Rg/Z*144</f>
        <v>0.38231123637496617</v>
      </c>
      <c r="S20">
        <f>R20*16.01846</f>
        <v>6.1240372474229412</v>
      </c>
      <c r="T20">
        <f>(Gam*F20/R20*gc*144)^0.5</f>
        <v>1208.3471744240703</v>
      </c>
      <c r="U20">
        <f>T20/3.28</f>
        <v>368.39852878782636</v>
      </c>
      <c r="V20">
        <f>D20*T20</f>
        <v>791.2756545490389</v>
      </c>
      <c r="W20">
        <f>V20/3.28</f>
        <v>241.2425776064143</v>
      </c>
    </row>
    <row r="21" spans="2:23" x14ac:dyDescent="0.25">
      <c r="B21">
        <f>(1/Gam*(1/M_1^2-1/D21^2)+(Gam+1)/2/Gam*LN((M_1^2/D21^2)*(1+D21^2*(Gam-1)/2)/(1+M_1^2*(Gam-1)/2)))*D/f</f>
        <v>19.054144483312772</v>
      </c>
      <c r="C21">
        <f>B21/3.28</f>
        <v>5.8091903912538942</v>
      </c>
      <c r="D21">
        <f>D20+0.01</f>
        <v>0.66484131654975853</v>
      </c>
      <c r="E21">
        <f>(Gam/Z/Rg)^0.5*D21*(1+D21^2*(Gam-1)/2)^(-(Gam+1)/2/(Gam-1))</f>
        <v>8.3528301626851514E-2</v>
      </c>
      <c r="F21">
        <f>H21/(1+(Gam-1)/2*D21^2)^(Gam/(Gam-1))</f>
        <v>84.663416847600018</v>
      </c>
      <c r="G21" s="21">
        <f>F21*6.89476</f>
        <v>583.73393994415869</v>
      </c>
      <c r="H21">
        <f>mdot*N21^0.5/A/E21/gc^0.5/144</f>
        <v>113.88317364947839</v>
      </c>
      <c r="I21" s="21">
        <f>H21*6.89476</f>
        <v>785.1971503514776</v>
      </c>
      <c r="J21">
        <f>N21/(1+(Gam-1)/2*D21^2)</f>
        <v>606.08995390861219</v>
      </c>
      <c r="K21">
        <f>J21/1.8</f>
        <v>336.71664106034012</v>
      </c>
      <c r="L21">
        <f>J21-'Example 7.1 - Pipe P3'!$C$8</f>
        <v>146.41995390861217</v>
      </c>
      <c r="M21">
        <f>K21-'Example 7.1 - Pipe P3'!$C$9</f>
        <v>63.566641060340146</v>
      </c>
      <c r="N21">
        <f>N20</f>
        <v>659.67000000000007</v>
      </c>
      <c r="O21">
        <f>O20</f>
        <v>366.48333333333335</v>
      </c>
      <c r="P21">
        <f>N21-'Example 7.1 - Pipe P3'!$C$8</f>
        <v>200.00000000000006</v>
      </c>
      <c r="Q21">
        <f>O21-'Example 7.1 - Pipe P3'!$C$9</f>
        <v>93.333333333333371</v>
      </c>
      <c r="R21">
        <f>F21/J21/Rg/Z*144</f>
        <v>0.3770182331386529</v>
      </c>
      <c r="S21">
        <f>R21*16.01846</f>
        <v>6.0392514868021863</v>
      </c>
      <c r="T21">
        <f>(Gam*F21/R21*gc*144)^0.5</f>
        <v>1206.8811705651196</v>
      </c>
      <c r="U21">
        <f>T21/3.28</f>
        <v>367.95157639180479</v>
      </c>
      <c r="V21">
        <f>D21*T21</f>
        <v>802.38446635762784</v>
      </c>
      <c r="W21">
        <f>V21/3.28</f>
        <v>244.62941047488655</v>
      </c>
    </row>
    <row r="22" spans="2:23" x14ac:dyDescent="0.25">
      <c r="B22">
        <f>(1/Gam*(1/M_1^2-1/D22^2)+(Gam+1)/2/Gam*LN((M_1^2/D22^2)*(1+D22^2*(Gam-1)/2)/(1+M_1^2*(Gam-1)/2)))*D/f</f>
        <v>19.555225426963233</v>
      </c>
      <c r="C22">
        <f>B22/3.28</f>
        <v>5.9619589716351324</v>
      </c>
      <c r="D22">
        <f>D21+0.01</f>
        <v>0.67484131654975854</v>
      </c>
      <c r="E22">
        <f>(Gam/Z/Rg)^0.5*D22*(1+D22^2*(Gam-1)/2)^(-(Gam+1)/2/(Gam-1))</f>
        <v>8.4161582817018132E-2</v>
      </c>
      <c r="F22">
        <f>H22/(1+(Gam-1)/2*D22^2)^(Gam/(Gam-1))</f>
        <v>83.306372765280358</v>
      </c>
      <c r="G22" s="21">
        <f>F22*6.89476</f>
        <v>574.37744668714436</v>
      </c>
      <c r="H22">
        <f>mdot*N22^0.5/A/E22/gc^0.5/144</f>
        <v>113.02624974982342</v>
      </c>
      <c r="I22" s="21">
        <f>H22*6.89476</f>
        <v>779.28886572509248</v>
      </c>
      <c r="J22">
        <f>N22/(1+(Gam-1)/2*D22^2)</f>
        <v>604.60158169478746</v>
      </c>
      <c r="K22">
        <f>J22/1.8</f>
        <v>335.88976760821527</v>
      </c>
      <c r="L22">
        <f>J22-'Example 7.1 - Pipe P3'!$C$8</f>
        <v>144.93158169478744</v>
      </c>
      <c r="M22">
        <f>K22-'Example 7.1 - Pipe P3'!$C$9</f>
        <v>62.739767608215288</v>
      </c>
      <c r="N22">
        <f>N21</f>
        <v>659.67000000000007</v>
      </c>
      <c r="O22">
        <f>O21</f>
        <v>366.48333333333335</v>
      </c>
      <c r="P22">
        <f>N22-'Example 7.1 - Pipe P3'!$C$8</f>
        <v>200.00000000000006</v>
      </c>
      <c r="Q22">
        <f>O22-'Example 7.1 - Pipe P3'!$C$9</f>
        <v>93.333333333333371</v>
      </c>
      <c r="R22">
        <f>F22/J22/Rg/Z*144</f>
        <v>0.37188836738097036</v>
      </c>
      <c r="S22">
        <f>R22*16.01846</f>
        <v>5.9570789373573785</v>
      </c>
      <c r="T22">
        <f>(Gam*F22/R22*gc*144)^0.5</f>
        <v>1205.3983935215335</v>
      </c>
      <c r="U22">
        <f>T22/3.28</f>
        <v>367.49951021997975</v>
      </c>
      <c r="V22">
        <f>D22*T22</f>
        <v>813.45263885103566</v>
      </c>
      <c r="W22">
        <f>V22/3.28</f>
        <v>248.00385330824258</v>
      </c>
    </row>
    <row r="23" spans="2:23" x14ac:dyDescent="0.25">
      <c r="B23">
        <f>(1/Gam*(1/M_1^2-1/D23^2)+(Gam+1)/2/Gam*LN((M_1^2/D23^2)*(1+D23^2*(Gam-1)/2)/(1+M_1^2*(Gam-1)/2)))*D/f</f>
        <v>20.021628825945623</v>
      </c>
      <c r="C23">
        <f>B23/3.28</f>
        <v>6.1041551298614705</v>
      </c>
      <c r="D23">
        <f>D22+0.01</f>
        <v>0.68484131654975855</v>
      </c>
      <c r="E23">
        <f>(Gam/Z/Rg)^0.5*D23*(1+D23^2*(Gam-1)/2)^(-(Gam+1)/2/(Gam-1))</f>
        <v>8.4773277574950068E-2</v>
      </c>
      <c r="F23">
        <f>H23/(1+(Gam-1)/2*D23^2)^(Gam/(Gam-1))</f>
        <v>81.987831692534542</v>
      </c>
      <c r="G23" s="21">
        <f>F23*6.89476</f>
        <v>565.28642244041941</v>
      </c>
      <c r="H23">
        <f>mdot*N23^0.5/A/E23/gc^0.5/144</f>
        <v>112.21069128071095</v>
      </c>
      <c r="I23" s="21">
        <f>H23*6.89476</f>
        <v>773.66578581459453</v>
      </c>
      <c r="J23">
        <f>N23/(1+(Gam-1)/2*D23^2)</f>
        <v>603.09844561167472</v>
      </c>
      <c r="K23">
        <f>J23/1.8</f>
        <v>335.05469200648594</v>
      </c>
      <c r="L23">
        <f>J23-'Example 7.1 - Pipe P3'!$C$8</f>
        <v>143.4284456116747</v>
      </c>
      <c r="M23">
        <f>K23-'Example 7.1 - Pipe P3'!$C$9</f>
        <v>61.904692006485959</v>
      </c>
      <c r="N23">
        <f>N22</f>
        <v>659.67000000000007</v>
      </c>
      <c r="O23">
        <f>O22</f>
        <v>366.48333333333335</v>
      </c>
      <c r="P23">
        <f>N23-'Example 7.1 - Pipe P3'!$C$8</f>
        <v>200.00000000000006</v>
      </c>
      <c r="Q23">
        <f>O23-'Example 7.1 - Pipe P3'!$C$9</f>
        <v>93.333333333333371</v>
      </c>
      <c r="R23">
        <f>F23/J23/Rg/Z*144</f>
        <v>0.36691446999192645</v>
      </c>
      <c r="S23">
        <f>R23*16.01846</f>
        <v>5.8774047609868747</v>
      </c>
      <c r="T23">
        <f>(Gam*F23/R23*gc*144)^0.5</f>
        <v>1203.8990545922286</v>
      </c>
      <c r="U23">
        <f>T23/3.28</f>
        <v>367.04239469275262</v>
      </c>
      <c r="V23">
        <f>D23*T23</f>
        <v>824.47981353995146</v>
      </c>
      <c r="W23">
        <f>V23/3.28</f>
        <v>251.36579681096083</v>
      </c>
    </row>
    <row r="24" spans="2:23" x14ac:dyDescent="0.25">
      <c r="B24">
        <f>(1/Gam*(1/M_1^2-1/D24^2)+(Gam+1)/2/Gam*LN((M_1^2/D24^2)*(1+D24^2*(Gam-1)/2)/(1+M_1^2*(Gam-1)/2)))*D/f</f>
        <v>20.455584203840942</v>
      </c>
      <c r="C24">
        <f>B24/3.28</f>
        <v>6.2364585987319954</v>
      </c>
      <c r="D24">
        <f>D23+0.01</f>
        <v>0.69484131654975856</v>
      </c>
      <c r="E24">
        <f>(Gam/Z/Rg)^0.5*D24*(1+D24^2*(Gam-1)/2)^(-(Gam+1)/2/(Gam-1))</f>
        <v>8.5363452579499649E-2</v>
      </c>
      <c r="F24">
        <f>H24/(1+(Gam-1)/2*D24^2)^(Gam/(Gam-1))</f>
        <v>80.706145492478726</v>
      </c>
      <c r="G24" s="21">
        <f>F24*6.89476</f>
        <v>556.44950369572257</v>
      </c>
      <c r="H24">
        <f>mdot*N24^0.5/A/E24/gc^0.5/144</f>
        <v>111.43490324454372</v>
      </c>
      <c r="I24" s="21">
        <f>H24*6.89476</f>
        <v>768.31691349435027</v>
      </c>
      <c r="J24">
        <f>N24/(1+(Gam-1)/2*D24^2)</f>
        <v>601.58081999095248</v>
      </c>
      <c r="K24">
        <f>J24/1.8</f>
        <v>334.21156666164023</v>
      </c>
      <c r="L24">
        <f>J24-'Example 7.1 - Pipe P3'!$C$8</f>
        <v>141.91081999095246</v>
      </c>
      <c r="M24">
        <f>K24-'Example 7.1 - Pipe P3'!$C$9</f>
        <v>61.061566661640256</v>
      </c>
      <c r="N24">
        <f>N23</f>
        <v>659.67000000000007</v>
      </c>
      <c r="O24">
        <f>O23</f>
        <v>366.48333333333335</v>
      </c>
      <c r="P24">
        <f>N24-'Example 7.1 - Pipe P3'!$C$8</f>
        <v>200.00000000000006</v>
      </c>
      <c r="Q24">
        <f>O24-'Example 7.1 - Pipe P3'!$C$9</f>
        <v>93.333333333333371</v>
      </c>
      <c r="R24">
        <f>F24/J24/Rg/Z*144</f>
        <v>0.3620897843719984</v>
      </c>
      <c r="S24">
        <f>R24*16.01846</f>
        <v>5.8001207273714819</v>
      </c>
      <c r="T24">
        <f>(Gam*F24/R24*gc*144)^0.5</f>
        <v>1202.3833659748029</v>
      </c>
      <c r="U24">
        <f>T24/3.28</f>
        <v>366.58029450451312</v>
      </c>
      <c r="V24">
        <f>D24*T24</f>
        <v>835.46564101146225</v>
      </c>
      <c r="W24">
        <f>V24/3.28</f>
        <v>254.7151344547141</v>
      </c>
    </row>
    <row r="25" spans="2:23" x14ac:dyDescent="0.25">
      <c r="B25">
        <f>(1/Gam*(1/M_1^2-1/D25^2)+(Gam+1)/2/Gam*LN((M_1^2/D25^2)*(1+D25^2*(Gam-1)/2)/(1+M_1^2*(Gam-1)/2)))*D/f</f>
        <v>20.859157457374135</v>
      </c>
      <c r="C25">
        <f>B25/3.28</f>
        <v>6.3594992248091877</v>
      </c>
      <c r="D25">
        <f>D24+0.01</f>
        <v>0.70484131654975857</v>
      </c>
      <c r="E25">
        <f>(Gam/Z/Rg)^0.5*D25*(1+D25^2*(Gam-1)/2)^(-(Gam+1)/2/(Gam-1))</f>
        <v>8.5932184449167198E-2</v>
      </c>
      <c r="F25">
        <f>H25/(1+(Gam-1)/2*D25^2)^(Gam/(Gam-1))</f>
        <v>79.459759615307419</v>
      </c>
      <c r="G25" s="21">
        <f>F25*6.89476</f>
        <v>547.85597220523698</v>
      </c>
      <c r="H25">
        <f>mdot*N25^0.5/A/E25/gc^0.5/144</f>
        <v>110.6973846852898</v>
      </c>
      <c r="I25" s="21">
        <f>H25*6.89476</f>
        <v>763.23190003274874</v>
      </c>
      <c r="J25">
        <f>N25/(1+(Gam-1)/2*D25^2)</f>
        <v>600.04897959319499</v>
      </c>
      <c r="K25">
        <f>J25/1.8</f>
        <v>333.36054421844165</v>
      </c>
      <c r="L25">
        <f>J25-'Example 7.1 - Pipe P3'!$C$8</f>
        <v>140.37897959319497</v>
      </c>
      <c r="M25">
        <f>K25-'Example 7.1 - Pipe P3'!$C$9</f>
        <v>60.210544218441669</v>
      </c>
      <c r="N25">
        <f>N24</f>
        <v>659.67000000000007</v>
      </c>
      <c r="O25">
        <f>O24</f>
        <v>366.48333333333335</v>
      </c>
      <c r="P25">
        <f>N25-'Example 7.1 - Pipe P3'!$C$8</f>
        <v>200.00000000000006</v>
      </c>
      <c r="Q25">
        <f>O25-'Example 7.1 - Pipe P3'!$C$9</f>
        <v>93.333333333333371</v>
      </c>
      <c r="R25">
        <f>F25/J25/Rg/Z*144</f>
        <v>0.35740793717439595</v>
      </c>
      <c r="S25">
        <f>R25*16.01846</f>
        <v>5.7251247453105751</v>
      </c>
      <c r="T25">
        <f>(Gam*F25/R25*gc*144)^0.5</f>
        <v>1200.8515406937224</v>
      </c>
      <c r="U25">
        <f>T25/3.28</f>
        <v>366.11327460174465</v>
      </c>
      <c r="V25">
        <f>D25*T25</f>
        <v>846.40978092336934</v>
      </c>
      <c r="W25">
        <f>V25/3.28</f>
        <v>258.05176247663701</v>
      </c>
    </row>
    <row r="26" spans="2:23" x14ac:dyDescent="0.25">
      <c r="B26">
        <f>(1/Gam*(1/M_1^2-1/D26^2)+(Gam+1)/2/Gam*LN((M_1^2/D26^2)*(1+D26^2*(Gam-1)/2)/(1+M_1^2*(Gam-1)/2)))*D/f</f>
        <v>21.234264755461286</v>
      </c>
      <c r="C26">
        <f>B26/3.28</f>
        <v>6.4738612059333196</v>
      </c>
      <c r="D26">
        <f>D25+0.01</f>
        <v>0.71484131654975858</v>
      </c>
      <c r="E26">
        <f>(Gam/Z/Rg)^0.5*D26*(1+D26^2*(Gam-1)/2)^(-(Gam+1)/2/(Gam-1))</f>
        <v>8.6479559512886606E-2</v>
      </c>
      <c r="F26">
        <f>H26/(1+(Gam-1)/2*D26^2)^(Gam/(Gam-1))</f>
        <v>78.247206547644012</v>
      </c>
      <c r="G26" s="21">
        <f>F26*6.89476</f>
        <v>539.49570981643399</v>
      </c>
      <c r="H26">
        <f>mdot*N26^0.5/A/E26/gc^0.5/144</f>
        <v>109.99672214333208</v>
      </c>
      <c r="I26" s="21">
        <f>H26*6.89476</f>
        <v>758.40099996496031</v>
      </c>
      <c r="J26">
        <f>N26/(1+(Gam-1)/2*D26^2)</f>
        <v>598.50319950278879</v>
      </c>
      <c r="K26">
        <f>J26/1.8</f>
        <v>332.50177750154933</v>
      </c>
      <c r="L26">
        <f>J26-'Example 7.1 - Pipe P3'!$C$8</f>
        <v>138.83319950278877</v>
      </c>
      <c r="M26">
        <f>K26-'Example 7.1 - Pipe P3'!$C$9</f>
        <v>59.35177750154935</v>
      </c>
      <c r="N26">
        <f>N25</f>
        <v>659.67000000000007</v>
      </c>
      <c r="O26">
        <f>O25</f>
        <v>366.48333333333335</v>
      </c>
      <c r="P26">
        <f>N26-'Example 7.1 - Pipe P3'!$C$8</f>
        <v>200.00000000000006</v>
      </c>
      <c r="Q26">
        <f>O26-'Example 7.1 - Pipe P3'!$C$9</f>
        <v>93.333333333333371</v>
      </c>
      <c r="R26">
        <f>F26/J26/Rg/Z*144</f>
        <v>0.35286291150306398</v>
      </c>
      <c r="S26">
        <f>R26*16.01846</f>
        <v>5.6523204333953707</v>
      </c>
      <c r="T26">
        <f>(Gam*F26/R26*gc*144)^0.5</f>
        <v>1199.3037925291098</v>
      </c>
      <c r="U26">
        <f>T26/3.28</f>
        <v>365.64140016131398</v>
      </c>
      <c r="V26">
        <f>D26*T26</f>
        <v>857.31190199462742</v>
      </c>
      <c r="W26">
        <f>V26/3.28</f>
        <v>261.37557987641082</v>
      </c>
    </row>
    <row r="27" spans="2:23" x14ac:dyDescent="0.25">
      <c r="B27">
        <f>(1/Gam*(1/M_1^2-1/D27^2)+(Gam+1)/2/Gam*LN((M_1^2/D27^2)*(1+D27^2*(Gam-1)/2)/(1+M_1^2*(Gam-1)/2)))*D/f</f>
        <v>21.582685090946274</v>
      </c>
      <c r="C27">
        <f>B27/3.28</f>
        <v>6.5800869179714256</v>
      </c>
      <c r="D27">
        <f>D26+0.01</f>
        <v>0.72484131654975859</v>
      </c>
      <c r="E27">
        <f>(Gam/Z/Rg)^0.5*D27*(1+D27^2*(Gam-1)/2)^(-(Gam+1)/2/(Gam-1))</f>
        <v>8.7005673575946935E-2</v>
      </c>
      <c r="F27">
        <f>H27/(1+(Gam-1)/2*D27^2)^(Gam/(Gam-1))</f>
        <v>77.067099804174049</v>
      </c>
      <c r="G27" s="21">
        <f>F27*6.89476</f>
        <v>531.35915704582703</v>
      </c>
      <c r="H27">
        <f>mdot*N27^0.5/A/E27/gc^0.5/144</f>
        <v>109.33158365256881</v>
      </c>
      <c r="I27" s="21">
        <f>H27*6.89476</f>
        <v>753.81502970438532</v>
      </c>
      <c r="J27">
        <f>N27/(1+(Gam-1)/2*D27^2)</f>
        <v>596.94375502426135</v>
      </c>
      <c r="K27">
        <f>J27/1.8</f>
        <v>331.63541945792298</v>
      </c>
      <c r="L27">
        <f>J27-'Example 7.1 - Pipe P3'!$C$8</f>
        <v>137.27375502426133</v>
      </c>
      <c r="M27">
        <f>K27-'Example 7.1 - Pipe P3'!$C$9</f>
        <v>58.485419457923001</v>
      </c>
      <c r="N27">
        <f>N26</f>
        <v>659.67000000000007</v>
      </c>
      <c r="O27">
        <f>O26</f>
        <v>366.48333333333335</v>
      </c>
      <c r="P27">
        <f>N27-'Example 7.1 - Pipe P3'!$C$8</f>
        <v>200.00000000000006</v>
      </c>
      <c r="Q27">
        <f>O27-'Example 7.1 - Pipe P3'!$C$9</f>
        <v>93.333333333333371</v>
      </c>
      <c r="R27">
        <f>F27/J27/Rg/Z*144</f>
        <v>0.34844902232925801</v>
      </c>
      <c r="S27">
        <f>R27*16.01846</f>
        <v>5.5816167262203269</v>
      </c>
      <c r="T27">
        <f>(Gam*F27/R27*gc*144)^0.5</f>
        <v>1197.7403359461841</v>
      </c>
      <c r="U27">
        <f>T27/3.28</f>
        <v>365.16473656895857</v>
      </c>
      <c r="V27">
        <f>D27*T27</f>
        <v>868.17168199198227</v>
      </c>
      <c r="W27">
        <f>V27/3.28</f>
        <v>264.6864884121897</v>
      </c>
    </row>
    <row r="28" spans="2:23" x14ac:dyDescent="0.25">
      <c r="B28">
        <f>(1/Gam*(1/M_1^2-1/D28^2)+(Gam+1)/2/Gam*LN((M_1^2/D28^2)*(1+D28^2*(Gam-1)/2)/(1+M_1^2*(Gam-1)/2)))*D/f</f>
        <v>21.906071631679463</v>
      </c>
      <c r="C28">
        <f>B28/3.28</f>
        <v>6.6786803755120321</v>
      </c>
      <c r="D28">
        <f>D27+0.01</f>
        <v>0.73484131654975859</v>
      </c>
      <c r="E28">
        <f>(Gam/Z/Rg)^0.5*D28*(1+D28^2*(Gam-1)/2)^(-(Gam+1)/2/(Gam-1))</f>
        <v>8.7510631681453246E-2</v>
      </c>
      <c r="F28">
        <f>H28/(1+(Gam-1)/2*D28^2)^(Gam/(Gam-1))</f>
        <v>75.91812840990616</v>
      </c>
      <c r="G28" s="21">
        <f>F28*6.89476</f>
        <v>523.43727503548462</v>
      </c>
      <c r="H28">
        <f>mdot*N28^0.5/A/E28/gc^0.5/144</f>
        <v>108.70071322811378</v>
      </c>
      <c r="I28" s="21">
        <f>H28*6.89476</f>
        <v>749.46532953666974</v>
      </c>
      <c r="J28">
        <f>N28/(1+(Gam-1)/2*D28^2)</f>
        <v>595.37092158007204</v>
      </c>
      <c r="K28">
        <f>J28/1.8</f>
        <v>330.76162310004003</v>
      </c>
      <c r="L28">
        <f>J28-'Example 7.1 - Pipe P3'!$C$8</f>
        <v>135.70092158007202</v>
      </c>
      <c r="M28">
        <f>K28-'Example 7.1 - Pipe P3'!$C$9</f>
        <v>57.611623100040049</v>
      </c>
      <c r="N28">
        <f>N27</f>
        <v>659.67000000000007</v>
      </c>
      <c r="O28">
        <f>O27</f>
        <v>366.48333333333335</v>
      </c>
      <c r="P28">
        <f>N28-'Example 7.1 - Pipe P3'!$C$8</f>
        <v>200.00000000000006</v>
      </c>
      <c r="Q28">
        <f>O28-'Example 7.1 - Pipe P3'!$C$9</f>
        <v>93.333333333333371</v>
      </c>
      <c r="R28">
        <f>F28/J28/Rg/Z*144</f>
        <v>0.34416089391535609</v>
      </c>
      <c r="S28">
        <f>R28*16.01846</f>
        <v>5.5129275127473756</v>
      </c>
      <c r="T28">
        <f>(Gam*F28/R28*gc*144)^0.5</f>
        <v>1196.1613860253715</v>
      </c>
      <c r="U28">
        <f>T28/3.28</f>
        <v>364.68334939797916</v>
      </c>
      <c r="V28">
        <f>D28*T28</f>
        <v>878.98880771286804</v>
      </c>
      <c r="W28">
        <f>V28/3.28</f>
        <v>267.98439259538662</v>
      </c>
    </row>
    <row r="29" spans="2:23" x14ac:dyDescent="0.25">
      <c r="B29">
        <f>(1/Gam*(1/M_1^2-1/D29^2)+(Gam+1)/2/Gam*LN((M_1^2/D29^2)*(1+D29^2*(Gam-1)/2)/(1+M_1^2*(Gam-1)/2)))*D/f</f>
        <v>22.205961999911846</v>
      </c>
      <c r="C29">
        <f>B29/3.28</f>
        <v>6.7701103658267829</v>
      </c>
      <c r="D29">
        <f>D28+0.01</f>
        <v>0.7448413165497586</v>
      </c>
      <c r="E29">
        <f>(Gam/Z/Rg)^0.5*D29*(1+D29^2*(Gam-1)/2)^(-(Gam+1)/2/(Gam-1))</f>
        <v>8.7994547867729381E-2</v>
      </c>
      <c r="F29">
        <f>H29/(1+(Gam-1)/2*D29^2)^(Gam/(Gam-1))</f>
        <v>74.799051826954269</v>
      </c>
      <c r="G29" s="21">
        <f>F29*6.89476</f>
        <v>515.72151057441124</v>
      </c>
      <c r="H29">
        <f>mdot*N29^0.5/A/E29/gc^0.5/144</f>
        <v>108.10292579848901</v>
      </c>
      <c r="I29" s="21">
        <f>H29*6.89476</f>
        <v>745.34372867839011</v>
      </c>
      <c r="J29">
        <f>N29/(1+(Gam-1)/2*D29^2)</f>
        <v>593.78497460991798</v>
      </c>
      <c r="K29">
        <f>J29/1.8</f>
        <v>329.88054144995442</v>
      </c>
      <c r="L29">
        <f>J29-'Example 7.1 - Pipe P3'!$C$8</f>
        <v>134.11497460991797</v>
      </c>
      <c r="M29">
        <f>K29-'Example 7.1 - Pipe P3'!$C$9</f>
        <v>56.730541449954444</v>
      </c>
      <c r="N29">
        <f>N28</f>
        <v>659.67000000000007</v>
      </c>
      <c r="O29">
        <f>O28</f>
        <v>366.48333333333335</v>
      </c>
      <c r="P29">
        <f>N29-'Example 7.1 - Pipe P3'!$C$8</f>
        <v>200.00000000000006</v>
      </c>
      <c r="Q29">
        <f>O29-'Example 7.1 - Pipe P3'!$C$9</f>
        <v>93.333333333333371</v>
      </c>
      <c r="R29">
        <f>F29/J29/Rg/Z*144</f>
        <v>0.33999343905726548</v>
      </c>
      <c r="S29">
        <f>R29*16.01846</f>
        <v>5.4461713038012451</v>
      </c>
      <c r="T29">
        <f>(Gam*F29/R29*gc*144)^0.5</f>
        <v>1194.5671583931348</v>
      </c>
      <c r="U29">
        <f>T29/3.28</f>
        <v>364.19730438815088</v>
      </c>
      <c r="V29">
        <f>D29*T29</f>
        <v>889.76297496464656</v>
      </c>
      <c r="W29">
        <f>V29/3.28</f>
        <v>271.2691996843435</v>
      </c>
    </row>
    <row r="30" spans="2:23" x14ac:dyDescent="0.25">
      <c r="B30">
        <f>(1/Gam*(1/M_1^2-1/D30^2)+(Gam+1)/2/Gam*LN((M_1^2/D30^2)*(1+D30^2*(Gam-1)/2)/(1+M_1^2*(Gam-1)/2)))*D/f</f>
        <v>22.483787593632858</v>
      </c>
      <c r="C30">
        <f>B30/3.28</f>
        <v>6.854813290741725</v>
      </c>
      <c r="D30">
        <f>D29+0.01</f>
        <v>0.75484131654975861</v>
      </c>
      <c r="E30">
        <f>(Gam/Z/Rg)^0.5*D30*(1+D30^2*(Gam-1)/2)^(-(Gam+1)/2/(Gam-1))</f>
        <v>8.8457544922061634E-2</v>
      </c>
      <c r="F30">
        <f>H30/(1+(Gam-1)/2*D30^2)^(Gam/(Gam-1))</f>
        <v>73.708695284620077</v>
      </c>
      <c r="G30" s="21">
        <f>F30*6.89476</f>
        <v>508.20376390058709</v>
      </c>
      <c r="H30">
        <f>mdot*N30^0.5/A/E30/gc^0.5/144</f>
        <v>107.53710254108913</v>
      </c>
      <c r="I30" s="21">
        <f>H30*6.89476</f>
        <v>741.44251311619962</v>
      </c>
      <c r="J30">
        <f>N30/(1+(Gam-1)/2*D30^2)</f>
        <v>592.18618947160314</v>
      </c>
      <c r="K30">
        <f>J30/1.8</f>
        <v>328.99232748422395</v>
      </c>
      <c r="L30">
        <f>J30-'Example 7.1 - Pipe P3'!$C$8</f>
        <v>132.51618947160313</v>
      </c>
      <c r="M30">
        <f>K30-'Example 7.1 - Pipe P3'!$C$9</f>
        <v>55.842327484223972</v>
      </c>
      <c r="N30">
        <f>N29</f>
        <v>659.67000000000007</v>
      </c>
      <c r="O30">
        <f>O29</f>
        <v>366.48333333333335</v>
      </c>
      <c r="P30">
        <f>N30-'Example 7.1 - Pipe P3'!$C$8</f>
        <v>200.00000000000006</v>
      </c>
      <c r="Q30">
        <f>O30-'Example 7.1 - Pipe P3'!$C$9</f>
        <v>93.333333333333371</v>
      </c>
      <c r="R30">
        <f>F30/J30/Rg/Z*144</f>
        <v>0.33594183997677396</v>
      </c>
      <c r="S30">
        <f>R30*16.01846</f>
        <v>5.3812709259943547</v>
      </c>
      <c r="T30">
        <f>(Gam*F30/R30*gc*144)^0.5</f>
        <v>1192.9578691535446</v>
      </c>
      <c r="U30">
        <f>T30/3.28</f>
        <v>363.70666742486117</v>
      </c>
      <c r="V30">
        <f>D30*T30</f>
        <v>900.49388854025631</v>
      </c>
      <c r="W30">
        <f>V30/3.28</f>
        <v>274.5408196769074</v>
      </c>
    </row>
    <row r="31" spans="2:23" x14ac:dyDescent="0.25">
      <c r="B31">
        <f>(1/Gam*(1/M_1^2-1/D31^2)+(Gam+1)/2/Gam*LN((M_1^2/D31^2)*(1+D31^2*(Gam-1)/2)/(1+M_1^2*(Gam-1)/2)))*D/f</f>
        <v>22.740882050134214</v>
      </c>
      <c r="C31">
        <f>B31/3.28</f>
        <v>6.9331957469921388</v>
      </c>
      <c r="D31">
        <f>D30+0.01</f>
        <v>0.76484131654975862</v>
      </c>
      <c r="E31">
        <f>(Gam/Z/Rg)^0.5*D31*(1+D31^2*(Gam-1)/2)^(-(Gam+1)/2/(Gam-1))</f>
        <v>8.8899754131175887E-2</v>
      </c>
      <c r="F31">
        <f>H31/(1+(Gam-1)/2*D31^2)^(Gam/(Gam-1))</f>
        <v>72.645945475867151</v>
      </c>
      <c r="G31" s="21">
        <f>F31*6.89476</f>
        <v>500.87635902918976</v>
      </c>
      <c r="H31">
        <f>mdot*N31^0.5/A/E31/gc^0.5/144</f>
        <v>107.00218658401049</v>
      </c>
      <c r="I31" s="21">
        <f>H31*6.89476</f>
        <v>737.75439597197214</v>
      </c>
      <c r="J31">
        <f>N31/(1+(Gam-1)/2*D31^2)</f>
        <v>590.57484134351728</v>
      </c>
      <c r="K31">
        <f>J31/1.8</f>
        <v>328.0971340797318</v>
      </c>
      <c r="L31">
        <f>J31-'Example 7.1 - Pipe P3'!$C$8</f>
        <v>130.90484134351726</v>
      </c>
      <c r="M31">
        <f>K31-'Example 7.1 - Pipe P3'!$C$9</f>
        <v>54.947134079731825</v>
      </c>
      <c r="N31">
        <f>N30</f>
        <v>659.67000000000007</v>
      </c>
      <c r="O31">
        <f>O30</f>
        <v>366.48333333333335</v>
      </c>
      <c r="P31">
        <f>N31-'Example 7.1 - Pipe P3'!$C$8</f>
        <v>200.00000000000006</v>
      </c>
      <c r="Q31">
        <f>O31-'Example 7.1 - Pipe P3'!$C$9</f>
        <v>93.333333333333371</v>
      </c>
      <c r="R31">
        <f>F31/J31/Rg/Z*144</f>
        <v>0.33200153071283878</v>
      </c>
      <c r="S31">
        <f>R31*16.01846</f>
        <v>5.3181532396623794</v>
      </c>
      <c r="T31">
        <f>(Gam*F31/R31*gc*144)^0.5</f>
        <v>1191.3337348206317</v>
      </c>
      <c r="U31">
        <f>T31/3.28</f>
        <v>363.2115045184853</v>
      </c>
      <c r="V31">
        <f>D31*T31</f>
        <v>911.18126219035298</v>
      </c>
      <c r="W31">
        <f>V31/3.28</f>
        <v>277.79916530193691</v>
      </c>
    </row>
    <row r="32" spans="2:23" x14ac:dyDescent="0.25">
      <c r="B32">
        <f>(1/Gam*(1/M_1^2-1/D32^2)+(Gam+1)/2/Gam*LN((M_1^2/D32^2)*(1+D32^2*(Gam-1)/2)/(1+M_1^2*(Gam-1)/2)))*D/f</f>
        <v>22.978488940453389</v>
      </c>
      <c r="C32">
        <f>B32/3.28</f>
        <v>7.0056368720894477</v>
      </c>
      <c r="D32">
        <f>D31+0.01</f>
        <v>0.77484131654975863</v>
      </c>
      <c r="E32">
        <f>(Gam/Z/Rg)^0.5*D32*(1+D32^2*(Gam-1)/2)^(-(Gam+1)/2/(Gam-1))</f>
        <v>8.9321315028837611E-2</v>
      </c>
      <c r="F32">
        <f>H32/(1+(Gam-1)/2*D32^2)^(Gam/(Gam-1))</f>
        <v>71.609746587087798</v>
      </c>
      <c r="G32" s="21">
        <f>F32*6.89476</f>
        <v>493.73201637878947</v>
      </c>
      <c r="H32">
        <f>mdot*N32^0.5/A/E32/gc^0.5/144</f>
        <v>106.49717904114617</v>
      </c>
      <c r="I32" s="21">
        <f>H32*6.89476</f>
        <v>734.27249016573296</v>
      </c>
      <c r="J32">
        <f>N32/(1+(Gam-1)/2*D32^2)</f>
        <v>588.95120512876588</v>
      </c>
      <c r="K32">
        <f>J32/1.8</f>
        <v>327.19511396042549</v>
      </c>
      <c r="L32">
        <f>J32-'Example 7.1 - Pipe P3'!$C$8</f>
        <v>129.28120512876586</v>
      </c>
      <c r="M32">
        <f>K32-'Example 7.1 - Pipe P3'!$C$9</f>
        <v>54.04511396042551</v>
      </c>
      <c r="N32">
        <f>N31</f>
        <v>659.67000000000007</v>
      </c>
      <c r="O32">
        <f>O31</f>
        <v>366.48333333333335</v>
      </c>
      <c r="P32">
        <f>N32-'Example 7.1 - Pipe P3'!$C$8</f>
        <v>200.00000000000006</v>
      </c>
      <c r="Q32">
        <f>O32-'Example 7.1 - Pipe P3'!$C$9</f>
        <v>93.333333333333371</v>
      </c>
      <c r="R32">
        <f>F32/J32/Rg/Z*144</f>
        <v>0.32816818087639493</v>
      </c>
      <c r="S32">
        <f>R32*16.01846</f>
        <v>5.2567488786412975</v>
      </c>
      <c r="T32">
        <f>(Gam*F32/R32*gc*144)^0.5</f>
        <v>1189.6949722515415</v>
      </c>
      <c r="U32">
        <f>T32/3.28</f>
        <v>362.71188178400655</v>
      </c>
      <c r="V32">
        <f>D32*T32</f>
        <v>921.82481859201289</v>
      </c>
      <c r="W32">
        <f>V32/3.28</f>
        <v>281.04415200976007</v>
      </c>
    </row>
    <row r="33" spans="2:23" x14ac:dyDescent="0.25">
      <c r="B33">
        <f>(1/Gam*(1/M_1^2-1/D33^2)+(Gam+1)/2/Gam*LN((M_1^2/D33^2)*(1+D33^2*(Gam-1)/2)/(1+M_1^2*(Gam-1)/2)))*D/f</f>
        <v>23.197768773198366</v>
      </c>
      <c r="C33">
        <f>B33/3.28</f>
        <v>7.0724904796336485</v>
      </c>
      <c r="D33">
        <f>D32+0.01</f>
        <v>0.78484131654975864</v>
      </c>
      <c r="E33">
        <f>(Gam/Z/Rg)^0.5*D33*(1+D33^2*(Gam-1)/2)^(-(Gam+1)/2/(Gam-1))</f>
        <v>8.9722375140956823E-2</v>
      </c>
      <c r="F33">
        <f>H33/(1+(Gam-1)/2*D33^2)^(Gam/(Gam-1))</f>
        <v>70.599096631438442</v>
      </c>
      <c r="G33" s="21">
        <f>F33*6.89476</f>
        <v>486.76382749057649</v>
      </c>
      <c r="H33">
        <f>mdot*N33^0.5/A/E33/gc^0.5/144</f>
        <v>106.02113535082343</v>
      </c>
      <c r="I33" s="21">
        <f>H33*6.89476</f>
        <v>730.99028317144337</v>
      </c>
      <c r="J33">
        <f>N33/(1+(Gam-1)/2*D33^2)</f>
        <v>587.31555536099518</v>
      </c>
      <c r="K33">
        <f>J33/1.8</f>
        <v>326.2864196449973</v>
      </c>
      <c r="L33">
        <f>J33-'Example 7.1 - Pipe P3'!$C$8</f>
        <v>127.64555536099516</v>
      </c>
      <c r="M33">
        <f>K33-'Example 7.1 - Pipe P3'!$C$9</f>
        <v>53.136419644997318</v>
      </c>
      <c r="N33">
        <f>N32</f>
        <v>659.67000000000007</v>
      </c>
      <c r="O33">
        <f>O32</f>
        <v>366.48333333333335</v>
      </c>
      <c r="P33">
        <f>N33-'Example 7.1 - Pipe P3'!$C$8</f>
        <v>200.00000000000006</v>
      </c>
      <c r="Q33">
        <f>O33-'Example 7.1 - Pipe P3'!$C$9</f>
        <v>93.333333333333371</v>
      </c>
      <c r="R33">
        <f>F33/J33/Rg/Z*144</f>
        <v>0.32443768064706896</v>
      </c>
      <c r="S33">
        <f>R33*16.01846</f>
        <v>5.1969920099378486</v>
      </c>
      <c r="T33">
        <f>(Gam*F33/R33*gc*144)^0.5</f>
        <v>1188.04179858053</v>
      </c>
      <c r="U33">
        <f>T33/3.28</f>
        <v>362.20786542089331</v>
      </c>
      <c r="V33">
        <f>D33*T33</f>
        <v>932.42428931408631</v>
      </c>
      <c r="W33">
        <f>V33/3.28</f>
        <v>284.27569796161168</v>
      </c>
    </row>
    <row r="34" spans="2:23" x14ac:dyDescent="0.25">
      <c r="B34">
        <f>(1/Gam*(1/M_1^2-1/D34^2)+(Gam+1)/2/Gam*LN((M_1^2/D34^2)*(1+D34^2*(Gam-1)/2)/(1+M_1^2*(Gam-1)/2)))*D/f</f>
        <v>23.39980537737727</v>
      </c>
      <c r="C34">
        <f>B34/3.28</f>
        <v>7.1340870052979488</v>
      </c>
      <c r="D34">
        <f>D33+0.01</f>
        <v>0.79484131654975865</v>
      </c>
      <c r="E34">
        <f>(Gam/Z/Rg)^0.5*D34*(1+D34^2*(Gam-1)/2)^(-(Gam+1)/2/(Gam-1))</f>
        <v>9.0103089728574573E-2</v>
      </c>
      <c r="F34">
        <f>H34/(1+(Gam-1)/2*D34^2)^(Gam/(Gam-1))</f>
        <v>69.613044059010221</v>
      </c>
      <c r="G34" s="21">
        <f>F34*6.89476</f>
        <v>479.96523165630128</v>
      </c>
      <c r="H34">
        <f>mdot*N34^0.5/A/E34/gc^0.5/144</f>
        <v>105.57316189125123</v>
      </c>
      <c r="I34" s="21">
        <f>H34*6.89476</f>
        <v>727.90161368132328</v>
      </c>
      <c r="J34">
        <f>N34/(1+(Gam-1)/2*D34^2)</f>
        <v>585.66816611194724</v>
      </c>
      <c r="K34">
        <f>J34/1.8</f>
        <v>325.37120339552627</v>
      </c>
      <c r="L34">
        <f>J34-'Example 7.1 - Pipe P3'!$C$8</f>
        <v>125.99816611194723</v>
      </c>
      <c r="M34">
        <f>K34-'Example 7.1 - Pipe P3'!$C$9</f>
        <v>52.221203395526288</v>
      </c>
      <c r="N34">
        <f>N33</f>
        <v>659.67000000000007</v>
      </c>
      <c r="O34">
        <f>O33</f>
        <v>366.48333333333335</v>
      </c>
      <c r="P34">
        <f>N34-'Example 7.1 - Pipe P3'!$C$8</f>
        <v>200.00000000000006</v>
      </c>
      <c r="Q34">
        <f>O34-'Example 7.1 - Pipe P3'!$C$9</f>
        <v>93.333333333333371</v>
      </c>
      <c r="R34">
        <f>F34/J34/Rg/Z*144</f>
        <v>0.32080612690242533</v>
      </c>
      <c r="S34">
        <f>R34*16.01846</f>
        <v>5.138820111541424</v>
      </c>
      <c r="T34">
        <f>(Gam*F34/R34*gc*144)^0.5</f>
        <v>1186.3744311538178</v>
      </c>
      <c r="U34">
        <f>T34/3.28</f>
        <v>361.69952169323716</v>
      </c>
      <c r="V34">
        <f>D34*T34</f>
        <v>942.97941477927156</v>
      </c>
      <c r="W34">
        <f>V34/3.28</f>
        <v>287.49372401807062</v>
      </c>
    </row>
    <row r="35" spans="2:23" x14ac:dyDescent="0.25">
      <c r="B35">
        <f>(1/Gam*(1/M_1^2-1/D35^2)+(Gam+1)/2/Gam*LN((M_1^2/D35^2)*(1+D35^2*(Gam-1)/2)/(1+M_1^2*(Gam-1)/2)))*D/f</f>
        <v>23.585611726078209</v>
      </c>
      <c r="C35">
        <f>B35/3.28</f>
        <v>7.1907352823409179</v>
      </c>
      <c r="D35">
        <f>D34+0.01</f>
        <v>0.80484131654975866</v>
      </c>
      <c r="E35">
        <f>(Gam/Z/Rg)^0.5*D35*(1+D35^2*(Gam-1)/2)^(-(Gam+1)/2/(Gam-1))</f>
        <v>9.0463621529100494E-2</v>
      </c>
      <c r="F35">
        <f>H35/(1+(Gam-1)/2*D35^2)^(Gam/(Gam-1))</f>
        <v>68.650684619759218</v>
      </c>
      <c r="G35" s="21">
        <f>F35*6.89476</f>
        <v>473.32999428893106</v>
      </c>
      <c r="H35">
        <f>mdot*N35^0.5/A/E35/gc^0.5/144</f>
        <v>105.15241284870241</v>
      </c>
      <c r="I35" s="21">
        <f>H35*6.89476</f>
        <v>725.00065001271946</v>
      </c>
      <c r="J35">
        <f>N35/(1+(Gam-1)/2*D35^2)</f>
        <v>584.00931090078359</v>
      </c>
      <c r="K35">
        <f>J35/1.8</f>
        <v>324.44961716710196</v>
      </c>
      <c r="L35">
        <f>J35-'Example 7.1 - Pipe P3'!$C$8</f>
        <v>124.33931090078357</v>
      </c>
      <c r="M35">
        <f>K35-'Example 7.1 - Pipe P3'!$C$9</f>
        <v>51.299617167101985</v>
      </c>
      <c r="N35">
        <f>N34</f>
        <v>659.67000000000007</v>
      </c>
      <c r="O35">
        <f>O34</f>
        <v>366.48333333333335</v>
      </c>
      <c r="P35">
        <f>N35-'Example 7.1 - Pipe P3'!$C$8</f>
        <v>200.00000000000006</v>
      </c>
      <c r="Q35">
        <f>O35-'Example 7.1 - Pipe P3'!$C$9</f>
        <v>93.333333333333371</v>
      </c>
      <c r="R35">
        <f>F35/J35/Rg/Z*144</f>
        <v>0.31726981038124263</v>
      </c>
      <c r="S35">
        <f>R35*16.01846</f>
        <v>5.0821737667995199</v>
      </c>
      <c r="T35">
        <f>(Gam*F35/R35*gc*144)^0.5</f>
        <v>1184.6930874653399</v>
      </c>
      <c r="U35">
        <f>T35/3.28</f>
        <v>361.1869169101646</v>
      </c>
      <c r="V35">
        <f>D35*T35</f>
        <v>953.48994422300257</v>
      </c>
      <c r="W35">
        <f>V35/3.28</f>
        <v>290.69815372652516</v>
      </c>
    </row>
    <row r="36" spans="2:23" x14ac:dyDescent="0.25">
      <c r="B36">
        <f>(1/Gam*(1/M_1^2-1/D36^2)+(Gam+1)/2/Gam*LN((M_1^2/D36^2)*(1+D36^2*(Gam-1)/2)/(1+M_1^2*(Gam-1)/2)))*D/f</f>
        <v>23.756135256019135</v>
      </c>
      <c r="C36">
        <f>B36/3.28</f>
        <v>7.2427241634204682</v>
      </c>
      <c r="D36">
        <f>D35+0.01</f>
        <v>0.81484131654975867</v>
      </c>
      <c r="E36">
        <f>(Gam/Z/Rg)^0.5*D36*(1+D36^2*(Gam-1)/2)^(-(Gam+1)/2/(Gam-1))</f>
        <v>9.0804140496163616E-2</v>
      </c>
      <c r="F36">
        <f>H36/(1+(Gam-1)/2*D36^2)^(Gam/(Gam-1))</f>
        <v>67.711158457483904</v>
      </c>
      <c r="G36" s="21">
        <f>F36*6.89476</f>
        <v>466.8521868863217</v>
      </c>
      <c r="H36">
        <f>mdot*N36^0.5/A/E36/gc^0.5/144</f>
        <v>104.75808731671913</v>
      </c>
      <c r="I36" s="21">
        <f>H36*6.89476</f>
        <v>722.28187010782233</v>
      </c>
      <c r="J36">
        <f>N36/(1+(Gam-1)/2*D36^2)</f>
        <v>582.33926260520855</v>
      </c>
      <c r="K36">
        <f>J36/1.8</f>
        <v>323.5218125584492</v>
      </c>
      <c r="L36">
        <f>J36-'Example 7.1 - Pipe P3'!$C$8</f>
        <v>122.66926260520853</v>
      </c>
      <c r="M36">
        <f>K36-'Example 7.1 - Pipe P3'!$C$9</f>
        <v>50.371812558449221</v>
      </c>
      <c r="N36">
        <f>N35</f>
        <v>659.67000000000007</v>
      </c>
      <c r="O36">
        <f>O35</f>
        <v>366.48333333333335</v>
      </c>
      <c r="P36">
        <f>N36-'Example 7.1 - Pipe P3'!$C$8</f>
        <v>200.00000000000006</v>
      </c>
      <c r="Q36">
        <f>O36-'Example 7.1 - Pipe P3'!$C$9</f>
        <v>93.333333333333371</v>
      </c>
      <c r="R36">
        <f>F36/J36/Rg/Z*144</f>
        <v>0.31382520379198936</v>
      </c>
      <c r="S36">
        <f>R36*16.01846</f>
        <v>5.0269964739338304</v>
      </c>
      <c r="T36">
        <f>(Gam*F36/R36*gc*144)^0.5</f>
        <v>1182.9979850934055</v>
      </c>
      <c r="U36">
        <f>T36/3.28</f>
        <v>360.67011740652612</v>
      </c>
      <c r="V36">
        <f>D36*T36</f>
        <v>963.95563564922236</v>
      </c>
      <c r="W36">
        <f>V36/3.28</f>
        <v>293.88891330768973</v>
      </c>
    </row>
    <row r="37" spans="2:23" x14ac:dyDescent="0.25">
      <c r="B37">
        <f>(1/Gam*(1/M_1^2-1/D37^2)+(Gam+1)/2/Gam*LN((M_1^2/D37^2)*(1+D37^2*(Gam-1)/2)/(1+M_1^2*(Gam-1)/2)))*D/f</f>
        <v>23.91226273198674</v>
      </c>
      <c r="C37">
        <f>B37/3.28</f>
        <v>7.2903240036544945</v>
      </c>
      <c r="D37">
        <f>D36+0.01</f>
        <v>0.82484131654975867</v>
      </c>
      <c r="E37">
        <f>(Gam/Z/Rg)^0.5*D37*(1+D37^2*(Gam-1)/2)^(-(Gam+1)/2/(Gam-1))</f>
        <v>9.1124823538430474E-2</v>
      </c>
      <c r="F37">
        <f>H37/(1+(Gam-1)/2*D37^2)^(Gam/(Gam-1))</f>
        <v>66.793647415243115</v>
      </c>
      <c r="G37" s="21">
        <f>F37*6.89476</f>
        <v>460.52616845272161</v>
      </c>
      <c r="H37">
        <f>mdot*N37^0.5/A/E37/gc^0.5/144</f>
        <v>104.38942660673581</v>
      </c>
      <c r="I37" s="21">
        <f>H37*6.89476</f>
        <v>719.74004299105775</v>
      </c>
      <c r="J37">
        <f>N37/(1+(Gam-1)/2*D37^2)</f>
        <v>580.65829337442392</v>
      </c>
      <c r="K37">
        <f>J37/1.8</f>
        <v>322.58794076356884</v>
      </c>
      <c r="L37">
        <f>J37-'Example 7.1 - Pipe P3'!$C$8</f>
        <v>120.9882933744239</v>
      </c>
      <c r="M37">
        <f>K37-'Example 7.1 - Pipe P3'!$C$9</f>
        <v>49.437940763568861</v>
      </c>
      <c r="N37">
        <f>N36</f>
        <v>659.67000000000007</v>
      </c>
      <c r="O37">
        <f>O36</f>
        <v>366.48333333333335</v>
      </c>
      <c r="P37">
        <f>N37-'Example 7.1 - Pipe P3'!$C$8</f>
        <v>200.00000000000006</v>
      </c>
      <c r="Q37">
        <f>O37-'Example 7.1 - Pipe P3'!$C$9</f>
        <v>93.333333333333371</v>
      </c>
      <c r="R37">
        <f>F37/J37/Rg/Z*144</f>
        <v>0.31046895078628084</v>
      </c>
      <c r="S37">
        <f>R37*16.01846</f>
        <v>4.9732344694120085</v>
      </c>
      <c r="T37">
        <f>(Gam*F37/R37*gc*144)^0.5</f>
        <v>1181.2893416382985</v>
      </c>
      <c r="U37">
        <f>T37/3.28</f>
        <v>360.14918952387154</v>
      </c>
      <c r="V37">
        <f>D37*T37</f>
        <v>974.3762557831318</v>
      </c>
      <c r="W37">
        <f>V37/3.28</f>
        <v>297.06593164119874</v>
      </c>
    </row>
    <row r="38" spans="2:23" x14ac:dyDescent="0.25">
      <c r="B38">
        <f>(1/Gam*(1/M_1^2-1/D38^2)+(Gam+1)/2/Gam*LN((M_1^2/D38^2)*(1+D38^2*(Gam-1)/2)/(1+M_1^2*(Gam-1)/2)))*D/f</f>
        <v>24.054824699900937</v>
      </c>
      <c r="C38">
        <f>B38/3.28</f>
        <v>7.3337880182624815</v>
      </c>
      <c r="D38">
        <f>D37+0.01</f>
        <v>0.83484131654975868</v>
      </c>
      <c r="E38">
        <f>(Gam/Z/Rg)^0.5*D38*(1+D38^2*(Gam-1)/2)^(-(Gam+1)/2/(Gam-1))</f>
        <v>9.1425854257736611E-2</v>
      </c>
      <c r="F38">
        <f>H38/(1+(Gam-1)/2*D38^2)^(Gam/(Gam-1))</f>
        <v>65.897372534487701</v>
      </c>
      <c r="G38" s="21">
        <f>F38*6.89476</f>
        <v>454.34656825588439</v>
      </c>
      <c r="H38">
        <f>mdot*N38^0.5/A/E38/gc^0.5/144</f>
        <v>104.04571175239282</v>
      </c>
      <c r="I38" s="21">
        <f>H38*6.89476</f>
        <v>717.37021156192793</v>
      </c>
      <c r="J38">
        <f>N38/(1+(Gam-1)/2*D38^2)</f>
        <v>578.96667454394333</v>
      </c>
      <c r="K38">
        <f>J38/1.8</f>
        <v>321.64815252441298</v>
      </c>
      <c r="L38">
        <f>J38-'Example 7.1 - Pipe P3'!$C$8</f>
        <v>119.29667454394331</v>
      </c>
      <c r="M38">
        <f>K38-'Example 7.1 - Pipe P3'!$C$9</f>
        <v>48.498152524413001</v>
      </c>
      <c r="N38">
        <f>N37</f>
        <v>659.67000000000007</v>
      </c>
      <c r="O38">
        <f>O37</f>
        <v>366.48333333333335</v>
      </c>
      <c r="P38">
        <f>N38-'Example 7.1 - Pipe P3'!$C$8</f>
        <v>200.00000000000006</v>
      </c>
      <c r="Q38">
        <f>O38-'Example 7.1 - Pipe P3'!$C$9</f>
        <v>93.333333333333371</v>
      </c>
      <c r="R38">
        <f>F38/J38/Rg/Z*144</f>
        <v>0.3071978557247943</v>
      </c>
      <c r="S38">
        <f>R38*16.01846</f>
        <v>4.9208365640133884</v>
      </c>
      <c r="T38">
        <f>(Gam*F38/R38*gc*144)^0.5</f>
        <v>1179.56737466084</v>
      </c>
      <c r="U38">
        <f>T38/3.28</f>
        <v>359.6241995917195</v>
      </c>
      <c r="V38">
        <f>D38*T38</f>
        <v>984.75158002099806</v>
      </c>
      <c r="W38">
        <f>V38/3.28</f>
        <v>300.22914025030428</v>
      </c>
    </row>
    <row r="39" spans="2:23" x14ac:dyDescent="0.25">
      <c r="B39">
        <f>(1/Gam*(1/M_1^2-1/D39^2)+(Gam+1)/2/Gam*LN((M_1^2/D39^2)*(1+D39^2*(Gam-1)/2)/(1+M_1^2*(Gam-1)/2)))*D/f</f>
        <v>24.184599567581987</v>
      </c>
      <c r="C39">
        <f>B39/3.28</f>
        <v>7.373353526701826</v>
      </c>
      <c r="D39">
        <f>D38+0.01</f>
        <v>0.84484131654975869</v>
      </c>
      <c r="E39">
        <f>(Gam/Z/Rg)^0.5*D39*(1+D39^2*(Gam-1)/2)^(-(Gam+1)/2/(Gam-1))</f>
        <v>9.170742268686885E-2</v>
      </c>
      <c r="F39">
        <f>H39/(1+(Gam-1)/2*D39^2)^(Gam/(Gam-1))</f>
        <v>65.021591731855651</v>
      </c>
      <c r="G39" s="21">
        <f>F39*6.89476</f>
        <v>448.30826980912906</v>
      </c>
      <c r="H39">
        <f>mdot*N39^0.5/A/E39/gc^0.5/144</f>
        <v>103.72626119149226</v>
      </c>
      <c r="I39" s="21">
        <f>H39*6.89476</f>
        <v>715.16767661265317</v>
      </c>
      <c r="J39">
        <f>N39/(1+(Gam-1)/2*D39^2)</f>
        <v>577.26467655229021</v>
      </c>
      <c r="K39">
        <f>J39/1.8</f>
        <v>320.70259808460565</v>
      </c>
      <c r="L39">
        <f>J39-'Example 7.1 - Pipe P3'!$C$8</f>
        <v>117.5946765522902</v>
      </c>
      <c r="M39">
        <f>K39-'Example 7.1 - Pipe P3'!$C$9</f>
        <v>47.552598084605677</v>
      </c>
      <c r="N39">
        <f>N38</f>
        <v>659.67000000000007</v>
      </c>
      <c r="O39">
        <f>O38</f>
        <v>366.48333333333335</v>
      </c>
      <c r="P39">
        <f>N39-'Example 7.1 - Pipe P3'!$C$8</f>
        <v>200.00000000000006</v>
      </c>
      <c r="Q39">
        <f>O39-'Example 7.1 - Pipe P3'!$C$9</f>
        <v>93.333333333333371</v>
      </c>
      <c r="R39">
        <f>F39/J39/Rg/Z*144</f>
        <v>0.30400887416997507</v>
      </c>
      <c r="S39">
        <f>R39*16.01846</f>
        <v>4.869753990536779</v>
      </c>
      <c r="T39">
        <f>(Gam*F39/R39*gc*144)^0.5</f>
        <v>1177.8323016219272</v>
      </c>
      <c r="U39">
        <f>T39/3.28</f>
        <v>359.09521390912414</v>
      </c>
      <c r="V39">
        <f>D39*T39</f>
        <v>995.08139237710145</v>
      </c>
      <c r="W39">
        <f>V39/3.28</f>
        <v>303.37847328570166</v>
      </c>
    </row>
    <row r="40" spans="2:23" x14ac:dyDescent="0.25">
      <c r="B40">
        <f>(1/Gam*(1/M_1^2-1/D40^2)+(Gam+1)/2/Gam*LN((M_1^2/D40^2)*(1+D40^2*(Gam-1)/2)/(1+M_1^2*(Gam-1)/2)))*D/f</f>
        <v>24.302317348182672</v>
      </c>
      <c r="C40">
        <f>B40/3.28</f>
        <v>7.409243093958132</v>
      </c>
      <c r="D40">
        <f>D39+0.01</f>
        <v>0.8548413165497587</v>
      </c>
      <c r="E40">
        <f>(Gam/Z/Rg)^0.5*D40*(1+D40^2*(Gam-1)/2)^(-(Gam+1)/2/(Gam-1))</f>
        <v>9.1969725027326948E-2</v>
      </c>
      <c r="F40">
        <f>H40/(1+(Gam-1)/2*D40^2)^(Gam/(Gam-1))</f>
        <v>64.165597639084382</v>
      </c>
      <c r="G40" s="21">
        <f>F40*6.89476</f>
        <v>442.40639597805341</v>
      </c>
      <c r="H40">
        <f>mdot*N40^0.5/A/E40/gc^0.5/144</f>
        <v>103.43042861104892</v>
      </c>
      <c r="I40" s="21">
        <f>H40*6.89476</f>
        <v>713.12798197031566</v>
      </c>
      <c r="J40">
        <f>N40/(1+(Gam-1)/2*D40^2)</f>
        <v>575.55256885960648</v>
      </c>
      <c r="K40">
        <f>J40/1.8</f>
        <v>319.75142714422583</v>
      </c>
      <c r="L40">
        <f>J40-'Example 7.1 - Pipe P3'!$C$8</f>
        <v>115.88256885960647</v>
      </c>
      <c r="M40">
        <f>K40-'Example 7.1 - Pipe P3'!$C$9</f>
        <v>46.601427144225852</v>
      </c>
      <c r="N40">
        <f>N39</f>
        <v>659.67000000000007</v>
      </c>
      <c r="O40">
        <f>O39</f>
        <v>366.48333333333335</v>
      </c>
      <c r="P40">
        <f>N40-'Example 7.1 - Pipe P3'!$C$8</f>
        <v>200.00000000000006</v>
      </c>
      <c r="Q40">
        <f>O40-'Example 7.1 - Pipe P3'!$C$9</f>
        <v>93.333333333333371</v>
      </c>
      <c r="R40">
        <f>F40/J40/Rg/Z*144</f>
        <v>0.30089910404602166</v>
      </c>
      <c r="S40">
        <f>R40*16.01846</f>
        <v>4.8199402621970364</v>
      </c>
      <c r="T40">
        <f>(Gam*F40/R40*gc*144)^0.5</f>
        <v>1176.0843398230816</v>
      </c>
      <c r="U40">
        <f>T40/3.28</f>
        <v>358.56229872654927</v>
      </c>
      <c r="V40">
        <f>D40*T40</f>
        <v>1005.3654854279168</v>
      </c>
      <c r="W40">
        <f>V40/3.28</f>
        <v>306.51386750851123</v>
      </c>
    </row>
    <row r="41" spans="2:23" x14ac:dyDescent="0.25">
      <c r="B41">
        <f>(1/Gam*(1/M_1^2-1/D41^2)+(Gam+1)/2/Gam*LN((M_1^2/D41^2)*(1+D41^2*(Gam-1)/2)/(1+M_1^2*(Gam-1)/2)))*D/f</f>
        <v>24.408663097608112</v>
      </c>
      <c r="C41">
        <f>B41/3.28</f>
        <v>7.4416655785390589</v>
      </c>
      <c r="D41">
        <f>D40+0.01</f>
        <v>0.86484131654975871</v>
      </c>
      <c r="E41">
        <f>(Gam/Z/Rg)^0.5*D41*(1+D41^2*(Gam-1)/2)^(-(Gam+1)/2/(Gam-1))</f>
        <v>9.2212963387382732E-2</v>
      </c>
      <c r="F41">
        <f>H41/(1+(Gam-1)/2*D41^2)^(Gam/(Gam-1))</f>
        <v>63.328715592838094</v>
      </c>
      <c r="G41" s="21">
        <f>F41*6.89476</f>
        <v>436.63629512087635</v>
      </c>
      <c r="H41">
        <f>mdot*N41^0.5/A/E41/gc^0.5/144</f>
        <v>103.15760094223701</v>
      </c>
      <c r="I41" s="21">
        <f>H41*6.89476</f>
        <v>711.24690067249799</v>
      </c>
      <c r="J41">
        <f>N41/(1+(Gam-1)/2*D41^2)</f>
        <v>573.83061986818859</v>
      </c>
      <c r="K41">
        <f>J41/1.8</f>
        <v>318.7947888156603</v>
      </c>
      <c r="L41">
        <f>J41-'Example 7.1 - Pipe P3'!$C$8</f>
        <v>114.16061986818858</v>
      </c>
      <c r="M41">
        <f>K41-'Example 7.1 - Pipe P3'!$C$9</f>
        <v>45.64478881566032</v>
      </c>
      <c r="N41">
        <f>N40</f>
        <v>659.67000000000007</v>
      </c>
      <c r="O41">
        <f>O40</f>
        <v>366.48333333333335</v>
      </c>
      <c r="P41">
        <f>N41-'Example 7.1 - Pipe P3'!$C$8</f>
        <v>200.00000000000006</v>
      </c>
      <c r="Q41">
        <f>O41-'Example 7.1 - Pipe P3'!$C$9</f>
        <v>93.333333333333371</v>
      </c>
      <c r="R41">
        <f>F41/J41/Rg/Z*144</f>
        <v>0.29786577741213827</v>
      </c>
      <c r="S41">
        <f>R41*16.01846</f>
        <v>4.7713510408452402</v>
      </c>
      <c r="T41">
        <f>(Gam*F41/R41*gc*144)^0.5</f>
        <v>1174.3237063480119</v>
      </c>
      <c r="U41">
        <f>T41/3.28</f>
        <v>358.02552022805241</v>
      </c>
      <c r="V41">
        <f>D41*T41</f>
        <v>1015.6036602536069</v>
      </c>
      <c r="W41">
        <f>V41/3.28</f>
        <v>309.63526227244114</v>
      </c>
    </row>
    <row r="42" spans="2:23" x14ac:dyDescent="0.25">
      <c r="B42">
        <f>(1/Gam*(1/M_1^2-1/D42^2)+(Gam+1)/2/Gam*LN((M_1^2/D42^2)*(1+D42^2*(Gam-1)/2)/(1+M_1^2*(Gam-1)/2)))*D/f</f>
        <v>24.504280074021228</v>
      </c>
      <c r="C42">
        <f>B42/3.28</f>
        <v>7.4708170957381794</v>
      </c>
      <c r="D42">
        <f>D41+0.01</f>
        <v>0.87484131654975872</v>
      </c>
      <c r="E42">
        <f>(Gam/Z/Rg)^0.5*D42*(1+D42^2*(Gam-1)/2)^(-(Gam+1)/2/(Gam-1))</f>
        <v>9.2437345520747158E-2</v>
      </c>
      <c r="F42">
        <f>H42/(1+(Gam-1)/2*D42^2)^(Gam/(Gam-1))</f>
        <v>62.510301762455768</v>
      </c>
      <c r="G42" s="21">
        <f>F42*6.89476</f>
        <v>430.99352817970953</v>
      </c>
      <c r="H42">
        <f>mdot*N42^0.5/A/E42/gc^0.5/144</f>
        <v>102.90719649323667</v>
      </c>
      <c r="I42" s="21">
        <f>H42*6.89476</f>
        <v>709.52042209370848</v>
      </c>
      <c r="J42">
        <f>N42/(1+(Gam-1)/2*D42^2)</f>
        <v>572.09909684497131</v>
      </c>
      <c r="K42">
        <f>J42/1.8</f>
        <v>317.83283158053962</v>
      </c>
      <c r="L42">
        <f>J42-'Example 7.1 - Pipe P3'!$C$8</f>
        <v>112.4290968449713</v>
      </c>
      <c r="M42">
        <f>K42-'Example 7.1 - Pipe P3'!$C$9</f>
        <v>44.682831580539641</v>
      </c>
      <c r="N42">
        <f>N41</f>
        <v>659.67000000000007</v>
      </c>
      <c r="O42">
        <f>O41</f>
        <v>366.48333333333335</v>
      </c>
      <c r="P42">
        <f>N42-'Example 7.1 - Pipe P3'!$C$8</f>
        <v>200.00000000000006</v>
      </c>
      <c r="Q42">
        <f>O42-'Example 7.1 - Pipe P3'!$C$9</f>
        <v>93.333333333333371</v>
      </c>
      <c r="R42">
        <f>F42/J42/Rg/Z*144</f>
        <v>0.29490625279998423</v>
      </c>
      <c r="S42">
        <f>R42*16.01846</f>
        <v>4.7239440142264355</v>
      </c>
      <c r="T42">
        <f>(Gam*F42/R42*gc*144)^0.5</f>
        <v>1172.5506180052134</v>
      </c>
      <c r="U42">
        <f>T42/3.28</f>
        <v>357.48494451378463</v>
      </c>
      <c r="V42">
        <f>D42*T42</f>
        <v>1025.7957263769142</v>
      </c>
      <c r="W42">
        <f>V42/3.28</f>
        <v>312.74259950515682</v>
      </c>
    </row>
    <row r="43" spans="2:23" x14ac:dyDescent="0.25">
      <c r="B43">
        <f>(1/Gam*(1/M_1^2-1/D43^2)+(Gam+1)/2/Gam*LN((M_1^2/D43^2)*(1+D43^2*(Gam-1)/2)/(1+M_1^2*(Gam-1)/2)))*D/f</f>
        <v>24.589772644671427</v>
      </c>
      <c r="C43">
        <f>B43/3.28</f>
        <v>7.4968819038632404</v>
      </c>
      <c r="D43">
        <f>D42+0.01</f>
        <v>0.88484131654975873</v>
      </c>
      <c r="E43">
        <f>(Gam/Z/Rg)^0.5*D43*(1+D43^2*(Gam-1)/2)^(-(Gam+1)/2/(Gam-1))</f>
        <v>9.2643084566143744E-2</v>
      </c>
      <c r="F43">
        <f>H43/(1+(Gam-1)/2*D43^2)^(Gam/(Gam-1))</f>
        <v>61.709741404709902</v>
      </c>
      <c r="G43" s="21">
        <f>F43*6.89476</f>
        <v>425.47385664753762</v>
      </c>
      <c r="H43">
        <f>mdot*N43^0.5/A/E43/gc^0.5/144</f>
        <v>102.67866320907297</v>
      </c>
      <c r="I43" s="21">
        <f>H43*6.89476</f>
        <v>707.94473994738792</v>
      </c>
      <c r="J43">
        <f>N43/(1+(Gam-1)/2*D43^2)</f>
        <v>570.35826584597714</v>
      </c>
      <c r="K43">
        <f>J43/1.8</f>
        <v>316.86570324776505</v>
      </c>
      <c r="L43">
        <f>J43-'Example 7.1 - Pipe P3'!$C$8</f>
        <v>110.68826584597713</v>
      </c>
      <c r="M43">
        <f>K43-'Example 7.1 - Pipe P3'!$C$9</f>
        <v>43.715703247765077</v>
      </c>
      <c r="N43">
        <f>N42</f>
        <v>659.67000000000007</v>
      </c>
      <c r="O43">
        <f>O42</f>
        <v>366.48333333333335</v>
      </c>
      <c r="P43">
        <f>N43-'Example 7.1 - Pipe P3'!$C$8</f>
        <v>200.00000000000006</v>
      </c>
      <c r="Q43">
        <f>O43-'Example 7.1 - Pipe P3'!$C$9</f>
        <v>93.333333333333371</v>
      </c>
      <c r="R43">
        <f>F43/J43/Rg/Z*144</f>
        <v>0.29201800807068307</v>
      </c>
      <c r="S43">
        <f>R43*16.01846</f>
        <v>4.6776787815599139</v>
      </c>
      <c r="T43">
        <f>(Gam*F43/R43*gc*144)^0.5</f>
        <v>1170.7652912716253</v>
      </c>
      <c r="U43">
        <f>T43/3.28</f>
        <v>356.9406375828126</v>
      </c>
      <c r="V43">
        <f>D43*T43</f>
        <v>1035.9415016995467</v>
      </c>
      <c r="W43">
        <f>V43/3.28</f>
        <v>315.83582368888619</v>
      </c>
    </row>
    <row r="44" spans="2:23" x14ac:dyDescent="0.25">
      <c r="B44">
        <f>(1/Gam*(1/M_1^2-1/D44^2)+(Gam+1)/2/Gam*LN((M_1^2/D44^2)*(1+D44^2*(Gam-1)/2)/(1+M_1^2*(Gam-1)/2)))*D/f</f>
        <v>24.66570896274316</v>
      </c>
      <c r="C44">
        <f>B44/3.28</f>
        <v>7.5200332203485249</v>
      </c>
      <c r="D44">
        <f>D43+0.01</f>
        <v>0.89484131654975874</v>
      </c>
      <c r="E44">
        <f>(Gam/Z/Rg)^0.5*D44*(1+D44^2*(Gam-1)/2)^(-(Gam+1)/2/(Gam-1))</f>
        <v>9.2830398788077931E-2</v>
      </c>
      <c r="F44">
        <f>H44/(1+(Gam-1)/2*D44^2)^(Gam/(Gam-1))</f>
        <v>60.926447235640886</v>
      </c>
      <c r="G44" s="21">
        <f>F44*6.89476</f>
        <v>420.07323134240733</v>
      </c>
      <c r="H44">
        <f>mdot*N44^0.5/A/E44/gc^0.5/144</f>
        <v>102.47147704851194</v>
      </c>
      <c r="I44" s="21">
        <f>H44*6.89476</f>
        <v>706.51624109499824</v>
      </c>
      <c r="J44">
        <f>N44/(1+(Gam-1)/2*D44^2)</f>
        <v>568.60839164274205</v>
      </c>
      <c r="K44">
        <f>J44/1.8</f>
        <v>315.89355091263445</v>
      </c>
      <c r="L44">
        <f>J44-'Example 7.1 - Pipe P3'!$C$8</f>
        <v>108.93839164274203</v>
      </c>
      <c r="M44">
        <f>K44-'Example 7.1 - Pipe P3'!$C$9</f>
        <v>42.743550912634475</v>
      </c>
      <c r="N44">
        <f>N43</f>
        <v>659.67000000000007</v>
      </c>
      <c r="O44">
        <f>O43</f>
        <v>366.48333333333335</v>
      </c>
      <c r="P44">
        <f>N44-'Example 7.1 - Pipe P3'!$C$8</f>
        <v>200.00000000000006</v>
      </c>
      <c r="Q44">
        <f>O44-'Example 7.1 - Pipe P3'!$C$9</f>
        <v>93.333333333333371</v>
      </c>
      <c r="R44">
        <f>F44/J44/Rg/Z*144</f>
        <v>0.28919863375074939</v>
      </c>
      <c r="S44">
        <f>R44*16.01846</f>
        <v>4.6325167467910298</v>
      </c>
      <c r="T44">
        <f>(Gam*F44/R44*gc*144)^0.5</f>
        <v>1168.9679422373511</v>
      </c>
      <c r="U44">
        <f>T44/3.28</f>
        <v>356.39266531626561</v>
      </c>
      <c r="V44">
        <f>D44*T44</f>
        <v>1046.0408124361336</v>
      </c>
      <c r="W44">
        <f>V44/3.28</f>
        <v>318.91488184028464</v>
      </c>
    </row>
    <row r="45" spans="2:23" x14ac:dyDescent="0.25">
      <c r="B45">
        <f>(1/Gam*(1/M_1^2-1/D45^2)+(Gam+1)/2/Gam*LN((M_1^2/D45^2)*(1+D45^2*(Gam-1)/2)/(1+M_1^2*(Gam-1)/2)))*D/f</f>
        <v>24.73262343466028</v>
      </c>
      <c r="C45">
        <f>B45/3.28</f>
        <v>7.5404339739817932</v>
      </c>
      <c r="D45">
        <f>D44+0.01</f>
        <v>0.90484131654975875</v>
      </c>
      <c r="E45">
        <f>(Gam/Z/Rg)^0.5*D45*(1+D45^2*(Gam-1)/2)^(-(Gam+1)/2/(Gam-1))</f>
        <v>9.2999511319081046E-2</v>
      </c>
      <c r="F45">
        <f>H45/(1+(Gam-1)/2*D45^2)^(Gam/(Gam-1))</f>
        <v>60.159857910410935</v>
      </c>
      <c r="G45" s="21">
        <f>F45*6.89476</f>
        <v>414.78778192638487</v>
      </c>
      <c r="H45">
        <f>mdot*N45^0.5/A/E45/gc^0.5/144</f>
        <v>102.2851404689589</v>
      </c>
      <c r="I45" s="21">
        <f>H45*6.89476</f>
        <v>705.23149509975906</v>
      </c>
      <c r="J45">
        <f>N45/(1+(Gam-1)/2*D45^2)</f>
        <v>566.84973765073141</v>
      </c>
      <c r="K45">
        <f>J45/1.8</f>
        <v>314.916520917073</v>
      </c>
      <c r="L45">
        <f>J45-'Example 7.1 - Pipe P3'!$C$8</f>
        <v>107.1797376507314</v>
      </c>
      <c r="M45">
        <f>K45-'Example 7.1 - Pipe P3'!$C$9</f>
        <v>41.766520917073024</v>
      </c>
      <c r="N45">
        <f>N44</f>
        <v>659.67000000000007</v>
      </c>
      <c r="O45">
        <f>O44</f>
        <v>366.48333333333335</v>
      </c>
      <c r="P45">
        <f>N45-'Example 7.1 - Pipe P3'!$C$8</f>
        <v>200.00000000000006</v>
      </c>
      <c r="Q45">
        <f>O45-'Example 7.1 - Pipe P3'!$C$9</f>
        <v>93.333333333333371</v>
      </c>
      <c r="R45">
        <f>F45/J45/Rg/Z*144</f>
        <v>0.28644582680988256</v>
      </c>
      <c r="S45">
        <f>R45*16.01846</f>
        <v>4.5884210189210322</v>
      </c>
      <c r="T45">
        <f>(Gam*F45/R45*gc*144)^0.5</f>
        <v>1167.1587865514621</v>
      </c>
      <c r="U45">
        <f>T45/3.28</f>
        <v>355.84109346081163</v>
      </c>
      <c r="V45">
        <f>D45*T45</f>
        <v>1056.0934930458438</v>
      </c>
      <c r="W45">
        <f>V45/3.28</f>
        <v>321.97972348958655</v>
      </c>
    </row>
    <row r="46" spans="2:23" x14ac:dyDescent="0.25">
      <c r="B46">
        <f>(1/Gam*(1/M_1^2-1/D46^2)+(Gam+1)/2/Gam*LN((M_1^2/D46^2)*(1+D46^2*(Gam-1)/2)/(1+M_1^2*(Gam-1)/2)))*D/f</f>
        <v>24.791018996268498</v>
      </c>
      <c r="C46">
        <f>B46/3.28</f>
        <v>7.5582374988623471</v>
      </c>
      <c r="D46">
        <f>D45+0.01</f>
        <v>0.91484131654975875</v>
      </c>
      <c r="E46">
        <f>(Gam/Z/Rg)^0.5*D46*(1+D46^2*(Gam-1)/2)^(-(Gam+1)/2/(Gam-1))</f>
        <v>9.3150649903697522E-2</v>
      </c>
      <c r="F46">
        <f>H46/(1+(Gam-1)/2*D46^2)^(Gam/(Gam-1))</f>
        <v>59.409436602912628</v>
      </c>
      <c r="G46" s="21">
        <f>F46*6.89476</f>
        <v>409.61380711229788</v>
      </c>
      <c r="H46">
        <f>mdot*N46^0.5/A/E46/gc^0.5/144</f>
        <v>102.11918101109407</v>
      </c>
      <c r="I46" s="21">
        <f>H46*6.89476</f>
        <v>704.08724446805093</v>
      </c>
      <c r="J46">
        <f>N46/(1+(Gam-1)/2*D46^2)</f>
        <v>565.08256585975539</v>
      </c>
      <c r="K46">
        <f>J46/1.8</f>
        <v>313.93475881097521</v>
      </c>
      <c r="L46">
        <f>J46-'Example 7.1 - Pipe P3'!$C$8</f>
        <v>105.41256585975538</v>
      </c>
      <c r="M46">
        <f>K46-'Example 7.1 - Pipe P3'!$C$9</f>
        <v>40.784758810975234</v>
      </c>
      <c r="N46">
        <f>N45</f>
        <v>659.67000000000007</v>
      </c>
      <c r="O46">
        <f>O45</f>
        <v>366.48333333333335</v>
      </c>
      <c r="P46">
        <f>N46-'Example 7.1 - Pipe P3'!$C$8</f>
        <v>200.00000000000006</v>
      </c>
      <c r="Q46">
        <f>O46-'Example 7.1 - Pipe P3'!$C$9</f>
        <v>93.333333333333371</v>
      </c>
      <c r="R46">
        <f>F46/J46/Rg/Z*144</f>
        <v>0.2837573848468144</v>
      </c>
      <c r="S46">
        <f>R46*16.01846</f>
        <v>4.5453563188733028</v>
      </c>
      <c r="T46">
        <f>(Gam*F46/R46*gc*144)^0.5</f>
        <v>1165.3380393688958</v>
      </c>
      <c r="U46">
        <f>T46/3.28</f>
        <v>355.28598761246826</v>
      </c>
      <c r="V46">
        <f>D46*T46</f>
        <v>1066.0993861617553</v>
      </c>
      <c r="W46">
        <f>V46/3.28</f>
        <v>325.03030065907177</v>
      </c>
    </row>
    <row r="47" spans="2:23" x14ac:dyDescent="0.25">
      <c r="B47">
        <f>(1/Gam*(1/M_1^2-1/D47^2)+(Gam+1)/2/Gam*LN((M_1^2/D47^2)*(1+D47^2*(Gam-1)/2)/(1+M_1^2*(Gam-1)/2)))*D/f</f>
        <v>24.841369214522338</v>
      </c>
      <c r="C47">
        <f>B47/3.28</f>
        <v>7.5735881751592498</v>
      </c>
      <c r="D47">
        <f>D46+0.01</f>
        <v>0.92484131654975876</v>
      </c>
      <c r="E47">
        <f>(Gam/Z/Rg)^0.5*D47*(1+D47^2*(Gam-1)/2)^(-(Gam+1)/2/(Gam-1))</f>
        <v>9.3284046644472388E-2</v>
      </c>
      <c r="F47">
        <f>H47/(1+(Gam-1)/2*D47^2)^(Gam/(Gam-1))</f>
        <v>58.674669677582408</v>
      </c>
      <c r="G47" s="21">
        <f>F47*6.89476</f>
        <v>404.54776550620807</v>
      </c>
      <c r="H47">
        <f>mdot*N47^0.5/A/E47/gc^0.5/144</f>
        <v>101.97314997569745</v>
      </c>
      <c r="I47" s="21">
        <f>H47*6.89476</f>
        <v>703.0803955264397</v>
      </c>
      <c r="J47">
        <f>N47/(1+(Gam-1)/2*D47^2)</f>
        <v>563.30713676639039</v>
      </c>
      <c r="K47">
        <f>J47/1.8</f>
        <v>312.94840931466132</v>
      </c>
      <c r="L47">
        <f>J47-'Example 7.1 - Pipe P3'!$C$8</f>
        <v>103.63713676639037</v>
      </c>
      <c r="M47">
        <f>K47-'Example 7.1 - Pipe P3'!$C$9</f>
        <v>39.798409314661342</v>
      </c>
      <c r="N47">
        <f>N46</f>
        <v>659.67000000000007</v>
      </c>
      <c r="O47">
        <f>O46</f>
        <v>366.48333333333335</v>
      </c>
      <c r="P47">
        <f>N47-'Example 7.1 - Pipe P3'!$C$8</f>
        <v>200.00000000000006</v>
      </c>
      <c r="Q47">
        <f>O47-'Example 7.1 - Pipe P3'!$C$9</f>
        <v>93.333333333333371</v>
      </c>
      <c r="R47">
        <f>F47/J47/Rg/Z*144</f>
        <v>0.281131200652327</v>
      </c>
      <c r="S47">
        <f>R47*16.01846</f>
        <v>4.5032888924012742</v>
      </c>
      <c r="T47">
        <f>(Gam*F47/R47*gc*144)^0.5</f>
        <v>1163.505915298455</v>
      </c>
      <c r="U47">
        <f>T47/3.28</f>
        <v>354.72741320074846</v>
      </c>
      <c r="V47">
        <f>D47*T47</f>
        <v>1076.0583425180553</v>
      </c>
      <c r="W47">
        <f>V47/3.28</f>
        <v>328.0665678408705</v>
      </c>
    </row>
    <row r="48" spans="2:23" x14ac:dyDescent="0.25">
      <c r="B48">
        <f>(1/Gam*(1/M_1^2-1/D48^2)+(Gam+1)/2/Gam*LN((M_1^2/D48^2)*(1+D48^2*(Gam-1)/2)/(1+M_1^2*(Gam-1)/2)))*D/f</f>
        <v>24.884120229699199</v>
      </c>
      <c r="C48">
        <f>B48/3.28</f>
        <v>7.5866220212497568</v>
      </c>
      <c r="D48">
        <f>D47+0.01</f>
        <v>0.93484131654975877</v>
      </c>
      <c r="E48">
        <f>(Gam/Z/Rg)^0.5*D48*(1+D48^2*(Gam-1)/2)^(-(Gam+1)/2/(Gam-1))</f>
        <v>9.3399937750186179E-2</v>
      </c>
      <c r="F48">
        <f>H48/(1+(Gam-1)/2*D48^2)^(Gam/(Gam-1))</f>
        <v>57.955065446515555</v>
      </c>
      <c r="G48" s="21">
        <f>F48*6.89476</f>
        <v>399.58626703801758</v>
      </c>
      <c r="H48">
        <f>mdot*N48^0.5/A/E48/gc^0.5/144</f>
        <v>101.8466211857596</v>
      </c>
      <c r="I48" s="21">
        <f>H48*6.89476</f>
        <v>702.20800988672784</v>
      </c>
      <c r="J48">
        <f>N48/(1+(Gam-1)/2*D48^2)</f>
        <v>561.523709308413</v>
      </c>
      <c r="K48">
        <f>J48/1.8</f>
        <v>311.95761628245168</v>
      </c>
      <c r="L48">
        <f>J48-'Example 7.1 - Pipe P3'!$C$8</f>
        <v>101.85370930841299</v>
      </c>
      <c r="M48">
        <f>K48-'Example 7.1 - Pipe P3'!$C$9</f>
        <v>38.807616282451704</v>
      </c>
      <c r="N48">
        <f>N47</f>
        <v>659.67000000000007</v>
      </c>
      <c r="O48">
        <f>O47</f>
        <v>366.48333333333335</v>
      </c>
      <c r="P48">
        <f>N48-'Example 7.1 - Pipe P3'!$C$8</f>
        <v>200.00000000000006</v>
      </c>
      <c r="Q48">
        <f>O48-'Example 7.1 - Pipe P3'!$C$9</f>
        <v>93.333333333333371</v>
      </c>
      <c r="R48">
        <f>F48/J48/Rg/Z*144</f>
        <v>0.27856525712119679</v>
      </c>
      <c r="S48">
        <f>R48*16.01846</f>
        <v>4.4621864285856061</v>
      </c>
      <c r="T48">
        <f>(Gam*F48/R48*gc*144)^0.5</f>
        <v>1161.6626283519256</v>
      </c>
      <c r="U48">
        <f>T48/3.28</f>
        <v>354.16543547314808</v>
      </c>
      <c r="V48">
        <f>D48*T48</f>
        <v>1085.9702208751673</v>
      </c>
      <c r="W48">
        <f>V48/3.28</f>
        <v>331.08848197413641</v>
      </c>
    </row>
    <row r="49" spans="2:23" x14ac:dyDescent="0.25">
      <c r="B49">
        <f>(1/Gam*(1/M_1^2-1/D49^2)+(Gam+1)/2/Gam*LN((M_1^2/D49^2)*(1+D49^2*(Gam-1)/2)/(1+M_1^2*(Gam-1)/2)))*D/f</f>
        <v>24.919692551728385</v>
      </c>
      <c r="C49">
        <f>B49/3.28</f>
        <v>7.5974672413806053</v>
      </c>
      <c r="D49">
        <f>D48+0.01</f>
        <v>0.94484131654975878</v>
      </c>
      <c r="E49">
        <f>(Gam/Z/Rg)^0.5*D49*(1+D49^2*(Gam-1)/2)^(-(Gam+1)/2/(Gam-1))</f>
        <v>9.3498563286573008E-2</v>
      </c>
      <c r="F49">
        <f>H49/(1+(Gam-1)/2*D49^2)^(Gam/(Gam-1))</f>
        <v>57.250153005563007</v>
      </c>
      <c r="G49" s="21">
        <f>F49*6.89476</f>
        <v>394.72606493663557</v>
      </c>
      <c r="H49">
        <f>mdot*N49^0.5/A/E49/gc^0.5/144</f>
        <v>101.73918982755953</v>
      </c>
      <c r="I49" s="21">
        <f>H49*6.89476</f>
        <v>701.46729645546429</v>
      </c>
      <c r="J49">
        <f>N49/(1+(Gam-1)/2*D49^2)</f>
        <v>559.73254080124843</v>
      </c>
      <c r="K49">
        <f>J49/1.8</f>
        <v>310.96252266736025</v>
      </c>
      <c r="L49">
        <f>J49-'Example 7.1 - Pipe P3'!$C$8</f>
        <v>100.06254080124842</v>
      </c>
      <c r="M49">
        <f>K49-'Example 7.1 - Pipe P3'!$C$9</f>
        <v>37.81252266736027</v>
      </c>
      <c r="N49">
        <f>N48</f>
        <v>659.67000000000007</v>
      </c>
      <c r="O49">
        <f>O48</f>
        <v>366.48333333333335</v>
      </c>
      <c r="P49">
        <f>N49-'Example 7.1 - Pipe P3'!$C$8</f>
        <v>200.00000000000006</v>
      </c>
      <c r="Q49">
        <f>O49-'Example 7.1 - Pipe P3'!$C$9</f>
        <v>93.333333333333371</v>
      </c>
      <c r="R49">
        <f>F49/J49/Rg/Z*144</f>
        <v>0.27605762248721288</v>
      </c>
      <c r="S49">
        <f>R49*16.01846</f>
        <v>4.4220179835065201</v>
      </c>
      <c r="T49">
        <f>(Gam*F49/R49*gc*144)^0.5</f>
        <v>1159.8083918943153</v>
      </c>
      <c r="U49">
        <f>T49/3.28</f>
        <v>353.60011947997418</v>
      </c>
      <c r="V49">
        <f>D49*T49</f>
        <v>1095.8348879428834</v>
      </c>
      <c r="W49">
        <f>V49/3.28</f>
        <v>334.09600242161082</v>
      </c>
    </row>
    <row r="50" spans="2:23" x14ac:dyDescent="0.25">
      <c r="B50">
        <f>(1/Gam*(1/M_1^2-1/D50^2)+(Gam+1)/2/Gam*LN((M_1^2/D50^2)*(1+D50^2*(Gam-1)/2)/(1+M_1^2*(Gam-1)/2)))*D/f</f>
        <v>24.948482722939676</v>
      </c>
      <c r="C50">
        <f>B50/3.28</f>
        <v>7.6062447326035603</v>
      </c>
      <c r="D50">
        <f>D49+0.01</f>
        <v>0.95484131654975879</v>
      </c>
      <c r="E50">
        <f>(Gam/Z/Rg)^0.5*D50*(1+D50^2*(Gam-1)/2)^(-(Gam+1)/2/(Gam-1))</f>
        <v>9.3580166929746675E-2</v>
      </c>
      <c r="F50">
        <f>H50/(1+(Gam-1)/2*D50^2)^(Gam/(Gam-1))</f>
        <v>56.559481143620502</v>
      </c>
      <c r="G50" s="21">
        <f>F50*6.89476</f>
        <v>389.96404820978887</v>
      </c>
      <c r="H50">
        <f>mdot*N50^0.5/A/E50/gc^0.5/144</f>
        <v>101.65047136492097</v>
      </c>
      <c r="I50" s="21">
        <f>H50*6.89476</f>
        <v>700.85560394800257</v>
      </c>
      <c r="J50">
        <f>N50/(1+(Gam-1)/2*D50^2)</f>
        <v>557.93388687643528</v>
      </c>
      <c r="K50">
        <f>J50/1.8</f>
        <v>309.96327048690847</v>
      </c>
      <c r="L50">
        <f>J50-'Example 7.1 - Pipe P3'!$C$8</f>
        <v>98.263886876435265</v>
      </c>
      <c r="M50">
        <f>K50-'Example 7.1 - Pipe P3'!$C$9</f>
        <v>36.813270486908493</v>
      </c>
      <c r="N50">
        <f>N49</f>
        <v>659.67000000000007</v>
      </c>
      <c r="O50">
        <f>O49</f>
        <v>366.48333333333335</v>
      </c>
      <c r="P50">
        <f>N50-'Example 7.1 - Pipe P3'!$C$8</f>
        <v>200.00000000000006</v>
      </c>
      <c r="Q50">
        <f>O50-'Example 7.1 - Pipe P3'!$C$9</f>
        <v>93.333333333333371</v>
      </c>
      <c r="R50">
        <f>F50/J50/Rg/Z*144</f>
        <v>0.27360644585758576</v>
      </c>
      <c r="S50">
        <f>R50*16.01846</f>
        <v>4.3827539087119032</v>
      </c>
      <c r="T50">
        <f>(Gam*F50/R50*gc*144)^0.5</f>
        <v>1157.9434185952223</v>
      </c>
      <c r="U50">
        <f>T50/3.28</f>
        <v>353.03153005951901</v>
      </c>
      <c r="V50">
        <f>D50*T50</f>
        <v>1105.6522183015904</v>
      </c>
      <c r="W50">
        <f>V50/3.28</f>
        <v>337.08909094560687</v>
      </c>
    </row>
    <row r="51" spans="2:23" x14ac:dyDescent="0.25">
      <c r="B51">
        <f>(1/Gam*(1/M_1^2-1/D51^2)+(Gam+1)/2/Gam*LN((M_1^2/D51^2)*(1+D51^2*(Gam-1)/2)/(1+M_1^2*(Gam-1)/2)))*D/f</f>
        <v>24.970864858384573</v>
      </c>
      <c r="C51">
        <f>B51/3.28</f>
        <v>7.6130685543855412</v>
      </c>
      <c r="D51">
        <f>D50+0.01</f>
        <v>0.9648413165497588</v>
      </c>
      <c r="E51">
        <f>(Gam/Z/Rg)^0.5*D51*(1+D51^2*(Gam-1)/2)^(-(Gam+1)/2/(Gam-1))</f>
        <v>9.3644995722548696E-2</v>
      </c>
      <c r="F51">
        <f>H51/(1+(Gam-1)/2*D51^2)^(Gam/(Gam-1))</f>
        <v>55.882617319799941</v>
      </c>
      <c r="G51" s="21">
        <f>F51*6.89476</f>
        <v>385.29723459186386</v>
      </c>
      <c r="H51">
        <f>mdot*N51^0.5/A/E51/gc^0.5/144</f>
        <v>101.58010052133774</v>
      </c>
      <c r="I51" s="21">
        <f>H51*6.89476</f>
        <v>700.37041387049862</v>
      </c>
      <c r="J51">
        <f>N51/(1+(Gam-1)/2*D51^2)</f>
        <v>556.12800142210665</v>
      </c>
      <c r="K51">
        <f>J51/1.8</f>
        <v>308.96000079005927</v>
      </c>
      <c r="L51">
        <f>J51-'Example 7.1 - Pipe P3'!$C$8</f>
        <v>96.458001422106634</v>
      </c>
      <c r="M51">
        <f>K51-'Example 7.1 - Pipe P3'!$C$9</f>
        <v>35.810000790059291</v>
      </c>
      <c r="N51">
        <f>N50</f>
        <v>659.67000000000007</v>
      </c>
      <c r="O51">
        <f>O50</f>
        <v>366.48333333333335</v>
      </c>
      <c r="P51">
        <f>N51-'Example 7.1 - Pipe P3'!$C$8</f>
        <v>200.00000000000006</v>
      </c>
      <c r="Q51">
        <f>O51-'Example 7.1 - Pipe P3'!$C$9</f>
        <v>93.333333333333371</v>
      </c>
      <c r="R51">
        <f>F51/J51/Rg/Z*144</f>
        <v>0.27120995302502193</v>
      </c>
      <c r="S51">
        <f>R51*16.01846</f>
        <v>4.3443657841331929</v>
      </c>
      <c r="T51">
        <f>(Gam*F51/R51*gc*144)^0.5</f>
        <v>1156.0679203813438</v>
      </c>
      <c r="U51">
        <f>T51/3.28</f>
        <v>352.45973182358046</v>
      </c>
      <c r="V51">
        <f>D51*T51</f>
        <v>1115.4220943216776</v>
      </c>
      <c r="W51">
        <f>V51/3.28</f>
        <v>340.06771168343829</v>
      </c>
    </row>
    <row r="52" spans="2:23" x14ac:dyDescent="0.25">
      <c r="B52">
        <f>(1/Gam*(1/M_1^2-1/D52^2)+(Gam+1)/2/Gam*LN((M_1^2/D52^2)*(1+D52^2*(Gam-1)/2)/(1+M_1^2*(Gam-1)/2)))*D/f</f>
        <v>24.987192073850686</v>
      </c>
      <c r="C52">
        <f>B52/3.28</f>
        <v>7.618046363978868</v>
      </c>
      <c r="D52">
        <f>D51+0.01</f>
        <v>0.97484131654975881</v>
      </c>
      <c r="E52">
        <f>(Gam/Z/Rg)^0.5*D52*(1+D52^2*(Gam-1)/2)^(-(Gam+1)/2/(Gam-1))</f>
        <v>9.3693299834021346E-2</v>
      </c>
      <c r="F52">
        <f>H52/(1+(Gam-1)/2*D52^2)^(Gam/(Gam-1))</f>
        <v>55.21914670360907</v>
      </c>
      <c r="G52" s="21">
        <f>F52*6.89476</f>
        <v>380.72276392617567</v>
      </c>
      <c r="H52">
        <f>mdot*N52^0.5/A/E52/gc^0.5/144</f>
        <v>101.5277303250945</v>
      </c>
      <c r="I52" s="21">
        <f>H52*6.89476</f>
        <v>700.00933393624848</v>
      </c>
      <c r="J52">
        <f>N52/(1+(Gam-1)/2*D52^2)</f>
        <v>554.31513652548324</v>
      </c>
      <c r="K52">
        <f>J52/1.8</f>
        <v>307.95285362526846</v>
      </c>
      <c r="L52">
        <f>J52-'Example 7.1 - Pipe P3'!$C$8</f>
        <v>94.645136525483224</v>
      </c>
      <c r="M52">
        <f>K52-'Example 7.1 - Pipe P3'!$C$9</f>
        <v>34.802853625268483</v>
      </c>
      <c r="N52">
        <f>N51</f>
        <v>659.67000000000007</v>
      </c>
      <c r="O52">
        <f>O51</f>
        <v>366.48333333333335</v>
      </c>
      <c r="P52">
        <f>N52-'Example 7.1 - Pipe P3'!$C$8</f>
        <v>200.00000000000006</v>
      </c>
      <c r="Q52">
        <f>O52-'Example 7.1 - Pipe P3'!$C$9</f>
        <v>93.333333333333371</v>
      </c>
      <c r="R52">
        <f>F52/J52/Rg/Z*144</f>
        <v>0.26886644253752856</v>
      </c>
      <c r="S52">
        <f>R52*16.01846</f>
        <v>4.3068263551296999</v>
      </c>
      <c r="T52">
        <f>(Gam*F52/R52*gc*144)^0.5</f>
        <v>1154.1821083901236</v>
      </c>
      <c r="U52">
        <f>T52/3.28</f>
        <v>351.88478914333041</v>
      </c>
      <c r="V52">
        <f>D52*T52</f>
        <v>1125.1444060812046</v>
      </c>
      <c r="W52">
        <f>V52/3.28</f>
        <v>343.03183112231847</v>
      </c>
    </row>
    <row r="53" spans="2:23" x14ac:dyDescent="0.25">
      <c r="B53">
        <f>(1/Gam*(1/M_1^2-1/D53^2)+(Gam+1)/2/Gam*LN((M_1^2/D53^2)*(1+D53^2*(Gam-1)/2)/(1+M_1^2*(Gam-1)/2)))*D/f</f>
        <v>24.997797810762254</v>
      </c>
      <c r="C53">
        <f>B53/3.28</f>
        <v>7.6212798203543466</v>
      </c>
      <c r="D53">
        <f>D52+0.01</f>
        <v>0.98484131654975882</v>
      </c>
      <c r="E53">
        <f>(Gam/Z/Rg)^0.5*D53*(1+D53^2*(Gam-1)/2)^(-(Gam+1)/2/(Gam-1))</f>
        <v>9.3725332322197513E-2</v>
      </c>
      <c r="F53">
        <f>H53/(1+(Gam-1)/2*D53^2)^(Gam/(Gam-1))</f>
        <v>54.568671273660961</v>
      </c>
      <c r="G53" s="21">
        <f>F53*6.89476</f>
        <v>376.23789195078666</v>
      </c>
      <c r="H53">
        <f>mdot*N53^0.5/A/E53/gc^0.5/144</f>
        <v>101.49303121290558</v>
      </c>
      <c r="I53" s="21">
        <f>H53*6.89476</f>
        <v>699.77009188549289</v>
      </c>
      <c r="J53">
        <f>N53/(1+(Gam-1)/2*D53^2)</f>
        <v>552.49554241737644</v>
      </c>
      <c r="K53">
        <f>J53/1.8</f>
        <v>306.94196800965358</v>
      </c>
      <c r="L53">
        <f>J53-'Example 7.1 - Pipe P3'!$C$8</f>
        <v>92.825542417376425</v>
      </c>
      <c r="M53">
        <f>K53-'Example 7.1 - Pipe P3'!$C$9</f>
        <v>33.791968009653601</v>
      </c>
      <c r="N53">
        <f>N52</f>
        <v>659.67000000000007</v>
      </c>
      <c r="O53">
        <f>O52</f>
        <v>366.48333333333335</v>
      </c>
      <c r="P53">
        <f>N53-'Example 7.1 - Pipe P3'!$C$8</f>
        <v>200.00000000000006</v>
      </c>
      <c r="Q53">
        <f>O53-'Example 7.1 - Pipe P3'!$C$9</f>
        <v>93.333333333333371</v>
      </c>
      <c r="R53">
        <f>F53/J53/Rg/Z*144</f>
        <v>0.26657428200762562</v>
      </c>
      <c r="S53">
        <f>R53*16.01846</f>
        <v>4.2701094733678708</v>
      </c>
      <c r="T53">
        <f>(Gam*F53/R53*gc*144)^0.5</f>
        <v>1152.2861929245507</v>
      </c>
      <c r="U53">
        <f>T53/3.28</f>
        <v>351.30676613553379</v>
      </c>
      <c r="V53">
        <f>D53*T53</f>
        <v>1134.819051281924</v>
      </c>
      <c r="W53">
        <f>V53/3.28</f>
        <v>345.98141807375731</v>
      </c>
    </row>
    <row r="54" spans="2:23" x14ac:dyDescent="0.25">
      <c r="B54">
        <f>(1/Gam*(1/M_1^2-1/D54^2)+(Gam+1)/2/Gam*LN((M_1^2/D54^2)*(1+D54^2*(Gam-1)/2)/(1+M_1^2*(Gam-1)/2)))*D/f</f>
        <v>25.002997066324475</v>
      </c>
      <c r="C54">
        <f>B54/3.28</f>
        <v>7.6228649592452671</v>
      </c>
      <c r="D54">
        <f>D53+0.01</f>
        <v>0.99484131654975883</v>
      </c>
      <c r="E54">
        <f>(Gam/Z/Rg)^0.5*D54*(1+D54^2*(Gam-1)/2)^(-(Gam+1)/2/(Gam-1))</f>
        <v>9.3741348900387891E-2</v>
      </c>
      <c r="F54">
        <f>H54/(1+(Gam-1)/2*D54^2)^(Gam/(Gam-1))</f>
        <v>53.930808970795574</v>
      </c>
      <c r="G54" s="21">
        <f>F54*6.89476</f>
        <v>371.83998445948248</v>
      </c>
      <c r="H54">
        <f>mdot*N54^0.5/A/E54/gc^0.5/144</f>
        <v>101.4756901879548</v>
      </c>
      <c r="I54" s="21">
        <f>H54*6.89476</f>
        <v>699.65052968030318</v>
      </c>
      <c r="J54">
        <f>N54/(1+(Gam-1)/2*D54^2)</f>
        <v>550.6694674186931</v>
      </c>
      <c r="K54">
        <f>J54/1.8</f>
        <v>305.92748189927391</v>
      </c>
      <c r="L54">
        <f>J54-'Example 7.1 - Pipe P3'!$C$8</f>
        <v>90.999467418693087</v>
      </c>
      <c r="M54">
        <f>K54-'Example 7.1 - Pipe P3'!$C$9</f>
        <v>32.777481899273937</v>
      </c>
      <c r="N54">
        <f>N53</f>
        <v>659.67000000000007</v>
      </c>
      <c r="O54">
        <f>O53</f>
        <v>366.48333333333335</v>
      </c>
      <c r="P54">
        <f>N54-'Example 7.1 - Pipe P3'!$C$8</f>
        <v>200.00000000000006</v>
      </c>
      <c r="Q54">
        <f>O54-'Example 7.1 - Pipe P3'!$C$9</f>
        <v>93.333333333333371</v>
      </c>
      <c r="R54">
        <f>F54/J54/Rg/Z*144</f>
        <v>0.26433190464412337</v>
      </c>
      <c r="S54">
        <f>R54*16.01846</f>
        <v>4.2341900412657045</v>
      </c>
      <c r="T54">
        <f>(Gam*F54/R54*gc*144)^0.5</f>
        <v>1150.380383409105</v>
      </c>
      <c r="U54">
        <f>T54/3.28</f>
        <v>350.72572664911741</v>
      </c>
      <c r="V54">
        <f>D54*T54</f>
        <v>1144.4459351637304</v>
      </c>
      <c r="W54">
        <f>V54/3.28</f>
        <v>348.91644364747879</v>
      </c>
    </row>
    <row r="55" spans="2:23" x14ac:dyDescent="0.25">
      <c r="B55">
        <f>(1/Gam*(1/M_1^2-1/D55^2)+(Gam+1)/2/Gam*LN((M_1^2/D55^2)*(1+D55^2*(Gam-1)/2)/(1+M_1^2*(Gam-1)/2)))*D/f</f>
        <v>25.00366356454483</v>
      </c>
      <c r="C55">
        <f>B55/3.28</f>
        <v>7.6230681599222043</v>
      </c>
      <c r="D55">
        <v>1</v>
      </c>
      <c r="E55">
        <f>(Gam/Z/Rg)^0.5*D55*(1+D55^2*(Gam-1)/2)^(-(Gam+1)/2/(Gam-1))</f>
        <v>9.3743433770267531E-2</v>
      </c>
      <c r="F55">
        <f>H55/(1+(Gam-1)/2*D55^2)^(Gam/(Gam-1))</f>
        <v>53.606566776666504</v>
      </c>
      <c r="G55" s="21">
        <f>F55*6.89476</f>
        <v>369.60441234908916</v>
      </c>
      <c r="H55">
        <f>mdot*N55^0.5/A/E55/gc^0.5/144</f>
        <v>101.47343335137992</v>
      </c>
      <c r="I55" s="21">
        <f>H55*6.89476</f>
        <v>699.63496933376018</v>
      </c>
      <c r="J55">
        <f>N55/(1+(Gam-1)/2*D55^2)</f>
        <v>549.72500000000014</v>
      </c>
      <c r="K55">
        <f>J55/1.8</f>
        <v>305.40277777777783</v>
      </c>
      <c r="L55">
        <f>J55-'Example 7.1 - Pipe P3'!$C$8</f>
        <v>90.055000000000121</v>
      </c>
      <c r="M55">
        <f>K55-'Example 7.1 - Pipe P3'!$C$9</f>
        <v>32.252777777777851</v>
      </c>
      <c r="N55">
        <f>N54</f>
        <v>659.67000000000007</v>
      </c>
      <c r="O55">
        <f>O54</f>
        <v>366.48333333333335</v>
      </c>
      <c r="P55">
        <f>N55-'Example 7.1 - Pipe P3'!$C$8</f>
        <v>200.00000000000006</v>
      </c>
      <c r="Q55">
        <f>O55-'Example 7.1 - Pipe P3'!$C$9</f>
        <v>93.333333333333371</v>
      </c>
      <c r="R55">
        <f>F55/J55/Rg/Z*144</f>
        <v>0.26319410238325863</v>
      </c>
      <c r="S55">
        <f>R55*16.01846</f>
        <v>4.2159642012621337</v>
      </c>
      <c r="T55">
        <f>(Gam*F55/R55*gc*144)^0.5</f>
        <v>1149.3934364970639</v>
      </c>
      <c r="U55">
        <f>T55/3.28</f>
        <v>350.42482820032438</v>
      </c>
      <c r="V55">
        <f>D55*T55</f>
        <v>1149.3934364970639</v>
      </c>
      <c r="W55">
        <f>V55/3.28</f>
        <v>350.42482820032438</v>
      </c>
    </row>
    <row r="56" spans="2:23" x14ac:dyDescent="0.25">
      <c r="G56" s="21"/>
      <c r="I56" s="21"/>
    </row>
    <row r="57" spans="2:23" x14ac:dyDescent="0.25">
      <c r="G57" s="21"/>
      <c r="I57" s="21"/>
    </row>
    <row r="58" spans="2:23" x14ac:dyDescent="0.25">
      <c r="G58" s="21"/>
      <c r="I58" s="21"/>
    </row>
    <row r="59" spans="2:23" x14ac:dyDescent="0.25">
      <c r="G59" s="21"/>
      <c r="I59" s="21"/>
    </row>
    <row r="60" spans="2:23" x14ac:dyDescent="0.25">
      <c r="G60" s="21"/>
      <c r="I60" s="21"/>
    </row>
    <row r="61" spans="2:23" x14ac:dyDescent="0.25">
      <c r="G61" s="21"/>
      <c r="I61" s="21"/>
    </row>
    <row r="62" spans="2:23" x14ac:dyDescent="0.25">
      <c r="G62" s="21"/>
      <c r="I62" s="21"/>
    </row>
    <row r="63" spans="2:23" x14ac:dyDescent="0.25">
      <c r="G63" s="21"/>
      <c r="I63" s="21"/>
    </row>
    <row r="64" spans="2:23" x14ac:dyDescent="0.25">
      <c r="G64" s="21"/>
      <c r="I64" s="21"/>
    </row>
    <row r="65" spans="7:9" x14ac:dyDescent="0.25">
      <c r="G65" s="21"/>
      <c r="I65" s="21"/>
    </row>
    <row r="66" spans="7:9" x14ac:dyDescent="0.25">
      <c r="G66" s="21"/>
      <c r="I66" s="21"/>
    </row>
    <row r="67" spans="7:9" x14ac:dyDescent="0.25">
      <c r="G67" s="21"/>
      <c r="I67" s="21"/>
    </row>
    <row r="68" spans="7:9" x14ac:dyDescent="0.25">
      <c r="G68" s="21"/>
      <c r="I68" s="21"/>
    </row>
    <row r="69" spans="7:9" x14ac:dyDescent="0.25">
      <c r="G69" s="21"/>
      <c r="I69" s="21"/>
    </row>
    <row r="70" spans="7:9" x14ac:dyDescent="0.25">
      <c r="G70" s="21"/>
      <c r="I70" s="21"/>
    </row>
    <row r="71" spans="7:9" x14ac:dyDescent="0.25">
      <c r="G71" s="21"/>
      <c r="I71" s="21"/>
    </row>
    <row r="72" spans="7:9" x14ac:dyDescent="0.25">
      <c r="G72" s="21"/>
      <c r="I72" s="21"/>
    </row>
    <row r="73" spans="7:9" x14ac:dyDescent="0.25">
      <c r="G73" s="21"/>
      <c r="I73" s="21"/>
    </row>
    <row r="74" spans="7:9" x14ac:dyDescent="0.25">
      <c r="G74" s="21"/>
      <c r="I74" s="21"/>
    </row>
    <row r="75" spans="7:9" x14ac:dyDescent="0.25">
      <c r="G75" s="21"/>
      <c r="I75" s="21"/>
    </row>
    <row r="76" spans="7:9" x14ac:dyDescent="0.25">
      <c r="G76" s="21"/>
      <c r="I7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Example 7.1 - Pipe P3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2024-04-22T23:05:32Z</dcterms:modified>
</cp:coreProperties>
</file>